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hidePivotFieldList="1" defaultThemeVersion="124226"/>
  <bookViews>
    <workbookView xWindow="360" yWindow="270" windowWidth="12960" windowHeight="8400"/>
  </bookViews>
  <sheets>
    <sheet name="Phone Plan Chooser" sheetId="1" r:id="rId1"/>
    <sheet name="Change Log" sheetId="2" r:id="rId2"/>
  </sheets>
  <definedNames>
    <definedName name="_xlnm._FilterDatabase" localSheetId="0" hidden="1">'Phone Plan Chooser'!$A$8:$AR$8</definedName>
  </definedNames>
  <calcPr calcId="125725"/>
</workbook>
</file>

<file path=xl/calcChain.xml><?xml version="1.0" encoding="utf-8"?>
<calcChain xmlns="http://schemas.openxmlformats.org/spreadsheetml/2006/main">
  <c r="S21" i="1"/>
  <c r="X21" s="1"/>
  <c r="R21"/>
  <c r="M21"/>
  <c r="L21"/>
  <c r="K21"/>
  <c r="E21"/>
  <c r="S85"/>
  <c r="X85" s="1"/>
  <c r="R85"/>
  <c r="M85"/>
  <c r="L85"/>
  <c r="K85"/>
  <c r="E85"/>
  <c r="S11"/>
  <c r="X11" s="1"/>
  <c r="R11"/>
  <c r="M11"/>
  <c r="L11"/>
  <c r="K11"/>
  <c r="E11"/>
  <c r="S74"/>
  <c r="X74" s="1"/>
  <c r="R74"/>
  <c r="M74"/>
  <c r="L74"/>
  <c r="K74"/>
  <c r="E74"/>
  <c r="S87"/>
  <c r="X87" s="1"/>
  <c r="R87"/>
  <c r="M87"/>
  <c r="L87"/>
  <c r="K87"/>
  <c r="E87"/>
  <c r="S27"/>
  <c r="X27" s="1"/>
  <c r="R27"/>
  <c r="M27"/>
  <c r="L27"/>
  <c r="K27"/>
  <c r="E27"/>
  <c r="S69"/>
  <c r="X69" s="1"/>
  <c r="R69"/>
  <c r="M69"/>
  <c r="L69"/>
  <c r="K69"/>
  <c r="E69"/>
  <c r="S71"/>
  <c r="X71" s="1"/>
  <c r="R71"/>
  <c r="M71"/>
  <c r="L71"/>
  <c r="K71"/>
  <c r="E71"/>
  <c r="S73"/>
  <c r="X73" s="1"/>
  <c r="R73"/>
  <c r="M73"/>
  <c r="L73"/>
  <c r="K73"/>
  <c r="E73"/>
  <c r="S70"/>
  <c r="X70" s="1"/>
  <c r="R70"/>
  <c r="M70"/>
  <c r="L70"/>
  <c r="K70"/>
  <c r="E70"/>
  <c r="R9"/>
  <c r="R92"/>
  <c r="R20"/>
  <c r="R22"/>
  <c r="R38"/>
  <c r="S38"/>
  <c r="R26"/>
  <c r="S26"/>
  <c r="X26" s="1"/>
  <c r="R54"/>
  <c r="S54"/>
  <c r="V54" s="1"/>
  <c r="R23"/>
  <c r="S23"/>
  <c r="X23" s="1"/>
  <c r="R24"/>
  <c r="S24"/>
  <c r="X24" s="1"/>
  <c r="R25"/>
  <c r="R58"/>
  <c r="S58"/>
  <c r="X58" s="1"/>
  <c r="R56"/>
  <c r="S56"/>
  <c r="X56" s="1"/>
  <c r="R72"/>
  <c r="S72"/>
  <c r="R84"/>
  <c r="S84"/>
  <c r="X84" s="1"/>
  <c r="R57"/>
  <c r="S57"/>
  <c r="X57" s="1"/>
  <c r="R29"/>
  <c r="R31"/>
  <c r="S31"/>
  <c r="V31" s="1"/>
  <c r="R62"/>
  <c r="S62"/>
  <c r="X62" s="1"/>
  <c r="R60"/>
  <c r="S60"/>
  <c r="V60" s="1"/>
  <c r="R61"/>
  <c r="S61"/>
  <c r="X61" s="1"/>
  <c r="R76"/>
  <c r="S76"/>
  <c r="X76" s="1"/>
  <c r="R30"/>
  <c r="S30"/>
  <c r="X30" s="1"/>
  <c r="R32"/>
  <c r="R33"/>
  <c r="S33"/>
  <c r="X33" s="1"/>
  <c r="R35"/>
  <c r="R37"/>
  <c r="S37"/>
  <c r="X37" s="1"/>
  <c r="R41"/>
  <c r="S41"/>
  <c r="X41" s="1"/>
  <c r="R63"/>
  <c r="S63"/>
  <c r="X63" s="1"/>
  <c r="R64"/>
  <c r="S64"/>
  <c r="X64" s="1"/>
  <c r="R77"/>
  <c r="S77"/>
  <c r="W77" s="1"/>
  <c r="R65"/>
  <c r="S65"/>
  <c r="X65" s="1"/>
  <c r="R49"/>
  <c r="S49"/>
  <c r="X49" s="1"/>
  <c r="R59"/>
  <c r="S59"/>
  <c r="X59" s="1"/>
  <c r="R67"/>
  <c r="S67"/>
  <c r="X67" s="1"/>
  <c r="R89"/>
  <c r="S89"/>
  <c r="V89" s="1"/>
  <c r="R50"/>
  <c r="S50"/>
  <c r="X50" s="1"/>
  <c r="R47"/>
  <c r="R66"/>
  <c r="S66"/>
  <c r="W66" s="1"/>
  <c r="R55"/>
  <c r="S55"/>
  <c r="X55" s="1"/>
  <c r="R51"/>
  <c r="S51"/>
  <c r="X51" s="1"/>
  <c r="R52"/>
  <c r="S52"/>
  <c r="R53"/>
  <c r="S53"/>
  <c r="X53" s="1"/>
  <c r="R75"/>
  <c r="S75"/>
  <c r="X75" s="1"/>
  <c r="R78"/>
  <c r="S78"/>
  <c r="X78" s="1"/>
  <c r="R82"/>
  <c r="S82"/>
  <c r="X82" s="1"/>
  <c r="R93"/>
  <c r="R79"/>
  <c r="S79"/>
  <c r="X79" s="1"/>
  <c r="S92"/>
  <c r="X92" s="1"/>
  <c r="R88"/>
  <c r="S88"/>
  <c r="X88" s="1"/>
  <c r="R86"/>
  <c r="S86"/>
  <c r="X86" s="1"/>
  <c r="R83"/>
  <c r="S83"/>
  <c r="X83" s="1"/>
  <c r="R80"/>
  <c r="S80"/>
  <c r="X80" s="1"/>
  <c r="R81"/>
  <c r="S81"/>
  <c r="X81" s="1"/>
  <c r="R91"/>
  <c r="S91"/>
  <c r="X91" s="1"/>
  <c r="R97"/>
  <c r="S97"/>
  <c r="R90"/>
  <c r="R95"/>
  <c r="S95"/>
  <c r="V95" s="1"/>
  <c r="R96"/>
  <c r="S96"/>
  <c r="X96" s="1"/>
  <c r="R94"/>
  <c r="S94"/>
  <c r="X94" s="1"/>
  <c r="R103"/>
  <c r="R102"/>
  <c r="R106"/>
  <c r="S106"/>
  <c r="X106" s="1"/>
  <c r="R107"/>
  <c r="S107"/>
  <c r="X107" s="1"/>
  <c r="R108"/>
  <c r="S108"/>
  <c r="X108" s="1"/>
  <c r="R99"/>
  <c r="R100"/>
  <c r="R104"/>
  <c r="R101"/>
  <c r="R109"/>
  <c r="S109"/>
  <c r="V109" s="1"/>
  <c r="R105"/>
  <c r="R98"/>
  <c r="R110"/>
  <c r="S110"/>
  <c r="X110" s="1"/>
  <c r="R14"/>
  <c r="S14"/>
  <c r="X14" s="1"/>
  <c r="R36"/>
  <c r="S36"/>
  <c r="X36" s="1"/>
  <c r="R15"/>
  <c r="S15"/>
  <c r="X15" s="1"/>
  <c r="R40"/>
  <c r="R42"/>
  <c r="S42"/>
  <c r="V42" s="1"/>
  <c r="R28"/>
  <c r="S28"/>
  <c r="X28" s="1"/>
  <c r="R12"/>
  <c r="S12"/>
  <c r="X12" s="1"/>
  <c r="R13"/>
  <c r="S13"/>
  <c r="X13" s="1"/>
  <c r="R18"/>
  <c r="S18"/>
  <c r="X18" s="1"/>
  <c r="R34"/>
  <c r="S34"/>
  <c r="X34" s="1"/>
  <c r="R48"/>
  <c r="S48"/>
  <c r="X48" s="1"/>
  <c r="R44"/>
  <c r="S44"/>
  <c r="X44" s="1"/>
  <c r="R68"/>
  <c r="S68"/>
  <c r="X68" s="1"/>
  <c r="R43"/>
  <c r="S43"/>
  <c r="X43" s="1"/>
  <c r="R45"/>
  <c r="S45"/>
  <c r="X45" s="1"/>
  <c r="R46"/>
  <c r="S46"/>
  <c r="W46" s="1"/>
  <c r="R17"/>
  <c r="S17"/>
  <c r="X17" s="1"/>
  <c r="R19"/>
  <c r="R10"/>
  <c r="S10"/>
  <c r="X10" s="1"/>
  <c r="R16"/>
  <c r="S16"/>
  <c r="X16" s="1"/>
  <c r="R39"/>
  <c r="S39"/>
  <c r="X39" s="1"/>
  <c r="S9"/>
  <c r="X9" s="1"/>
  <c r="G102"/>
  <c r="G105"/>
  <c r="O105" s="1"/>
  <c r="S105" s="1"/>
  <c r="X105" s="1"/>
  <c r="O102"/>
  <c r="S102" s="1"/>
  <c r="X102" s="1"/>
  <c r="O103"/>
  <c r="S103" s="1"/>
  <c r="X103" s="1"/>
  <c r="O104"/>
  <c r="S104" s="1"/>
  <c r="X104" s="1"/>
  <c r="O25"/>
  <c r="S25" s="1"/>
  <c r="X25" s="1"/>
  <c r="O99"/>
  <c r="O100"/>
  <c r="O101"/>
  <c r="O98"/>
  <c r="N99"/>
  <c r="S99" s="1"/>
  <c r="X99" s="1"/>
  <c r="N100"/>
  <c r="S100" s="1"/>
  <c r="X100" s="1"/>
  <c r="N101"/>
  <c r="S101" s="1"/>
  <c r="X101" s="1"/>
  <c r="N98"/>
  <c r="S98" s="1"/>
  <c r="AF80"/>
  <c r="AF83"/>
  <c r="AF86"/>
  <c r="AF88"/>
  <c r="AF81"/>
  <c r="M88"/>
  <c r="L88"/>
  <c r="K88"/>
  <c r="E88"/>
  <c r="G40"/>
  <c r="L40" s="1"/>
  <c r="G35"/>
  <c r="S35" s="1"/>
  <c r="T35" s="1"/>
  <c r="U35" s="1"/>
  <c r="M62"/>
  <c r="L62"/>
  <c r="K62"/>
  <c r="E62"/>
  <c r="M58"/>
  <c r="L58"/>
  <c r="K58"/>
  <c r="E58"/>
  <c r="M48"/>
  <c r="L48"/>
  <c r="K48"/>
  <c r="E48"/>
  <c r="M40"/>
  <c r="K40"/>
  <c r="E40"/>
  <c r="M35"/>
  <c r="K35"/>
  <c r="E35"/>
  <c r="M100"/>
  <c r="M101"/>
  <c r="M98"/>
  <c r="M32"/>
  <c r="M47"/>
  <c r="L33"/>
  <c r="M33"/>
  <c r="E33"/>
  <c r="K33"/>
  <c r="G47"/>
  <c r="L47" s="1"/>
  <c r="G19"/>
  <c r="O19" s="1"/>
  <c r="S19" s="1"/>
  <c r="X19" s="1"/>
  <c r="G29"/>
  <c r="O29" s="1"/>
  <c r="S29" s="1"/>
  <c r="X29" s="1"/>
  <c r="G32"/>
  <c r="L32" s="1"/>
  <c r="G20"/>
  <c r="O20" s="1"/>
  <c r="S20" s="1"/>
  <c r="X20" s="1"/>
  <c r="G22"/>
  <c r="O22" s="1"/>
  <c r="S22" s="1"/>
  <c r="X22" s="1"/>
  <c r="E47"/>
  <c r="E32"/>
  <c r="K47"/>
  <c r="K32"/>
  <c r="G90"/>
  <c r="S90" s="1"/>
  <c r="G93"/>
  <c r="S93" s="1"/>
  <c r="W93" s="1"/>
  <c r="L98"/>
  <c r="L101"/>
  <c r="L100"/>
  <c r="L99"/>
  <c r="M99"/>
  <c r="K98"/>
  <c r="K101"/>
  <c r="K100"/>
  <c r="K99"/>
  <c r="E98"/>
  <c r="E101"/>
  <c r="E100"/>
  <c r="E99"/>
  <c r="L53"/>
  <c r="L52"/>
  <c r="L51"/>
  <c r="L50"/>
  <c r="L55"/>
  <c r="L59"/>
  <c r="L66"/>
  <c r="L78"/>
  <c r="M52"/>
  <c r="M51"/>
  <c r="M50"/>
  <c r="M55"/>
  <c r="M59"/>
  <c r="M66"/>
  <c r="M78"/>
  <c r="M53"/>
  <c r="E78"/>
  <c r="E66"/>
  <c r="E59"/>
  <c r="E55"/>
  <c r="E50"/>
  <c r="E51"/>
  <c r="E52"/>
  <c r="E53"/>
  <c r="K78"/>
  <c r="K66"/>
  <c r="K59"/>
  <c r="K55"/>
  <c r="K50"/>
  <c r="K51"/>
  <c r="K52"/>
  <c r="K53"/>
  <c r="E96"/>
  <c r="E97"/>
  <c r="E37"/>
  <c r="E34"/>
  <c r="E39"/>
  <c r="E46"/>
  <c r="E41"/>
  <c r="E38"/>
  <c r="E45"/>
  <c r="E57"/>
  <c r="E9"/>
  <c r="E10"/>
  <c r="E12"/>
  <c r="E23"/>
  <c r="E105"/>
  <c r="E102"/>
  <c r="E103"/>
  <c r="E104"/>
  <c r="E25"/>
  <c r="E90"/>
  <c r="E91"/>
  <c r="E92"/>
  <c r="E93"/>
  <c r="E95"/>
  <c r="E13"/>
  <c r="E17"/>
  <c r="E24"/>
  <c r="E30"/>
  <c r="E81"/>
  <c r="E80"/>
  <c r="E83"/>
  <c r="E86"/>
  <c r="E106"/>
  <c r="E107"/>
  <c r="E108"/>
  <c r="E109"/>
  <c r="E110"/>
  <c r="E43"/>
  <c r="E56"/>
  <c r="E60"/>
  <c r="E63"/>
  <c r="E36"/>
  <c r="E42"/>
  <c r="E44"/>
  <c r="E54"/>
  <c r="E61"/>
  <c r="E64"/>
  <c r="E67"/>
  <c r="E75"/>
  <c r="E16"/>
  <c r="E28"/>
  <c r="E14"/>
  <c r="E18"/>
  <c r="E26"/>
  <c r="E31"/>
  <c r="E15"/>
  <c r="E49"/>
  <c r="E65"/>
  <c r="E68"/>
  <c r="E72"/>
  <c r="E76"/>
  <c r="E77"/>
  <c r="E22"/>
  <c r="E20"/>
  <c r="E19"/>
  <c r="E29"/>
  <c r="E79"/>
  <c r="E82"/>
  <c r="E84"/>
  <c r="E89"/>
  <c r="E94"/>
  <c r="T9" l="1"/>
  <c r="U9" s="1"/>
  <c r="W85"/>
  <c r="W21"/>
  <c r="T85"/>
  <c r="U85" s="1"/>
  <c r="V85"/>
  <c r="T21"/>
  <c r="U21" s="1"/>
  <c r="V21"/>
  <c r="W74"/>
  <c r="W11"/>
  <c r="T74"/>
  <c r="U74" s="1"/>
  <c r="V74"/>
  <c r="T11"/>
  <c r="U11" s="1"/>
  <c r="V11"/>
  <c r="W87"/>
  <c r="T87"/>
  <c r="U87" s="1"/>
  <c r="V87"/>
  <c r="W27"/>
  <c r="T27"/>
  <c r="U27" s="1"/>
  <c r="V27"/>
  <c r="T52"/>
  <c r="U52" s="1"/>
  <c r="V55"/>
  <c r="W67"/>
  <c r="T38"/>
  <c r="U38" s="1"/>
  <c r="W71"/>
  <c r="W69"/>
  <c r="T71"/>
  <c r="U71" s="1"/>
  <c r="V71"/>
  <c r="T69"/>
  <c r="U69" s="1"/>
  <c r="V69"/>
  <c r="W70"/>
  <c r="W73"/>
  <c r="T70"/>
  <c r="U70" s="1"/>
  <c r="V70"/>
  <c r="T73"/>
  <c r="U73" s="1"/>
  <c r="V73"/>
  <c r="X90"/>
  <c r="W90"/>
  <c r="L35"/>
  <c r="V45"/>
  <c r="S40"/>
  <c r="X40" s="1"/>
  <c r="V107"/>
  <c r="V83"/>
  <c r="V82"/>
  <c r="V64"/>
  <c r="W84"/>
  <c r="V24"/>
  <c r="V12"/>
  <c r="W39"/>
  <c r="V17"/>
  <c r="W44"/>
  <c r="W15"/>
  <c r="W94"/>
  <c r="T97"/>
  <c r="U97" s="1"/>
  <c r="V81"/>
  <c r="W92"/>
  <c r="V79"/>
  <c r="W53"/>
  <c r="V65"/>
  <c r="W37"/>
  <c r="V76"/>
  <c r="T72"/>
  <c r="U72" s="1"/>
  <c r="V58"/>
  <c r="W24"/>
  <c r="T24"/>
  <c r="U24" s="1"/>
  <c r="W45"/>
  <c r="T45"/>
  <c r="U45" s="1"/>
  <c r="V48"/>
  <c r="W12"/>
  <c r="T12"/>
  <c r="U12" s="1"/>
  <c r="W107"/>
  <c r="T107"/>
  <c r="U107" s="1"/>
  <c r="V94"/>
  <c r="T94"/>
  <c r="U94" s="1"/>
  <c r="V97"/>
  <c r="W83"/>
  <c r="T83"/>
  <c r="U83" s="1"/>
  <c r="W82"/>
  <c r="T82"/>
  <c r="U82" s="1"/>
  <c r="V52"/>
  <c r="V59"/>
  <c r="W64"/>
  <c r="T64"/>
  <c r="U64" s="1"/>
  <c r="V35"/>
  <c r="W76"/>
  <c r="T76"/>
  <c r="U76" s="1"/>
  <c r="V38"/>
  <c r="V16"/>
  <c r="V18"/>
  <c r="V15"/>
  <c r="T15"/>
  <c r="U15" s="1"/>
  <c r="W62"/>
  <c r="T31"/>
  <c r="U31" s="1"/>
  <c r="V72"/>
  <c r="W26"/>
  <c r="V98"/>
  <c r="X98"/>
  <c r="W98"/>
  <c r="X109"/>
  <c r="X97"/>
  <c r="X95"/>
  <c r="X93"/>
  <c r="X89"/>
  <c r="X77"/>
  <c r="X72"/>
  <c r="X66"/>
  <c r="X60"/>
  <c r="X54"/>
  <c r="X52"/>
  <c r="X46"/>
  <c r="X42"/>
  <c r="X38"/>
  <c r="X35"/>
  <c r="X31"/>
  <c r="W16"/>
  <c r="T16"/>
  <c r="U16" s="1"/>
  <c r="V68"/>
  <c r="W48"/>
  <c r="T48"/>
  <c r="U48" s="1"/>
  <c r="W13"/>
  <c r="V14"/>
  <c r="W108"/>
  <c r="W97"/>
  <c r="W80"/>
  <c r="V88"/>
  <c r="V75"/>
  <c r="W52"/>
  <c r="W59"/>
  <c r="T59"/>
  <c r="U59" s="1"/>
  <c r="V41"/>
  <c r="W35"/>
  <c r="W30"/>
  <c r="W31"/>
  <c r="V57"/>
  <c r="W72"/>
  <c r="W38"/>
  <c r="T96"/>
  <c r="U96" s="1"/>
  <c r="T81"/>
  <c r="U81" s="1"/>
  <c r="T86"/>
  <c r="U86" s="1"/>
  <c r="T79"/>
  <c r="U79" s="1"/>
  <c r="T78"/>
  <c r="U78" s="1"/>
  <c r="T55"/>
  <c r="U55" s="1"/>
  <c r="T50"/>
  <c r="U50" s="1"/>
  <c r="T65"/>
  <c r="U65" s="1"/>
  <c r="T63"/>
  <c r="U63" s="1"/>
  <c r="T61"/>
  <c r="U61" s="1"/>
  <c r="T58"/>
  <c r="U58" s="1"/>
  <c r="T19"/>
  <c r="U19" s="1"/>
  <c r="T68"/>
  <c r="U68" s="1"/>
  <c r="T34"/>
  <c r="U34" s="1"/>
  <c r="T42"/>
  <c r="U42" s="1"/>
  <c r="T54"/>
  <c r="U54" s="1"/>
  <c r="T22"/>
  <c r="U22" s="1"/>
  <c r="T14"/>
  <c r="U14" s="1"/>
  <c r="T110"/>
  <c r="U110" s="1"/>
  <c r="T109"/>
  <c r="U109" s="1"/>
  <c r="T100"/>
  <c r="U100" s="1"/>
  <c r="T95"/>
  <c r="U95" s="1"/>
  <c r="T91"/>
  <c r="U91" s="1"/>
  <c r="T88"/>
  <c r="U88" s="1"/>
  <c r="T75"/>
  <c r="U75" s="1"/>
  <c r="T51"/>
  <c r="U51" s="1"/>
  <c r="T89"/>
  <c r="U89" s="1"/>
  <c r="T49"/>
  <c r="U49" s="1"/>
  <c r="T41"/>
  <c r="U41" s="1"/>
  <c r="T33"/>
  <c r="U33" s="1"/>
  <c r="T60"/>
  <c r="U60" s="1"/>
  <c r="T57"/>
  <c r="U57" s="1"/>
  <c r="T56"/>
  <c r="U56" s="1"/>
  <c r="T17"/>
  <c r="U17" s="1"/>
  <c r="T43"/>
  <c r="U43" s="1"/>
  <c r="T18"/>
  <c r="U18" s="1"/>
  <c r="T28"/>
  <c r="U28" s="1"/>
  <c r="T36"/>
  <c r="U36" s="1"/>
  <c r="T105"/>
  <c r="U105" s="1"/>
  <c r="T106"/>
  <c r="U106" s="1"/>
  <c r="T23"/>
  <c r="U23" s="1"/>
  <c r="T20"/>
  <c r="U20" s="1"/>
  <c r="W20"/>
  <c r="V20"/>
  <c r="T29"/>
  <c r="U29" s="1"/>
  <c r="W29"/>
  <c r="T101"/>
  <c r="U101" s="1"/>
  <c r="W101"/>
  <c r="T99"/>
  <c r="U99" s="1"/>
  <c r="W99"/>
  <c r="V99"/>
  <c r="V104"/>
  <c r="T104"/>
  <c r="U104" s="1"/>
  <c r="W104"/>
  <c r="T102"/>
  <c r="U102" s="1"/>
  <c r="W102"/>
  <c r="V102"/>
  <c r="T25"/>
  <c r="U25" s="1"/>
  <c r="W25"/>
  <c r="T103"/>
  <c r="U103" s="1"/>
  <c r="W103"/>
  <c r="T39"/>
  <c r="U39" s="1"/>
  <c r="T10"/>
  <c r="U10" s="1"/>
  <c r="W19"/>
  <c r="W17"/>
  <c r="T46"/>
  <c r="U46" s="1"/>
  <c r="W43"/>
  <c r="W68"/>
  <c r="T44"/>
  <c r="U44" s="1"/>
  <c r="W34"/>
  <c r="W18"/>
  <c r="T13"/>
  <c r="U13" s="1"/>
  <c r="W28"/>
  <c r="W42"/>
  <c r="W36"/>
  <c r="W14"/>
  <c r="T98"/>
  <c r="U98" s="1"/>
  <c r="W109"/>
  <c r="W100"/>
  <c r="T108"/>
  <c r="U108" s="1"/>
  <c r="W106"/>
  <c r="W96"/>
  <c r="W95"/>
  <c r="T90"/>
  <c r="U90" s="1"/>
  <c r="W91"/>
  <c r="W81"/>
  <c r="T80"/>
  <c r="U80" s="1"/>
  <c r="W86"/>
  <c r="W88"/>
  <c r="T92"/>
  <c r="U92" s="1"/>
  <c r="W79"/>
  <c r="T93"/>
  <c r="U93" s="1"/>
  <c r="W78"/>
  <c r="W75"/>
  <c r="T53"/>
  <c r="U53" s="1"/>
  <c r="W51"/>
  <c r="W55"/>
  <c r="T66"/>
  <c r="U66" s="1"/>
  <c r="W50"/>
  <c r="W89"/>
  <c r="T67"/>
  <c r="U67" s="1"/>
  <c r="W49"/>
  <c r="W65"/>
  <c r="T77"/>
  <c r="U77" s="1"/>
  <c r="W63"/>
  <c r="W41"/>
  <c r="T37"/>
  <c r="U37" s="1"/>
  <c r="W33"/>
  <c r="T30"/>
  <c r="U30" s="1"/>
  <c r="W61"/>
  <c r="W60"/>
  <c r="T62"/>
  <c r="U62" s="1"/>
  <c r="W57"/>
  <c r="T84"/>
  <c r="U84" s="1"/>
  <c r="W56"/>
  <c r="W58"/>
  <c r="W23"/>
  <c r="W54"/>
  <c r="T26"/>
  <c r="U26" s="1"/>
  <c r="W22"/>
  <c r="W105"/>
  <c r="W110"/>
  <c r="V110"/>
  <c r="V105"/>
  <c r="V101"/>
  <c r="V100"/>
  <c r="V108"/>
  <c r="V106"/>
  <c r="V103"/>
  <c r="V96"/>
  <c r="V90"/>
  <c r="V91"/>
  <c r="V80"/>
  <c r="V86"/>
  <c r="V92"/>
  <c r="V93"/>
  <c r="V78"/>
  <c r="V53"/>
  <c r="V51"/>
  <c r="V66"/>
  <c r="V50"/>
  <c r="V67"/>
  <c r="V49"/>
  <c r="V77"/>
  <c r="V63"/>
  <c r="V37"/>
  <c r="V33"/>
  <c r="V30"/>
  <c r="V61"/>
  <c r="V62"/>
  <c r="V29"/>
  <c r="V84"/>
  <c r="V56"/>
  <c r="V25"/>
  <c r="V23"/>
  <c r="V26"/>
  <c r="V22"/>
  <c r="V19"/>
  <c r="V46"/>
  <c r="V43"/>
  <c r="V44"/>
  <c r="V34"/>
  <c r="V13"/>
  <c r="V28"/>
  <c r="V40"/>
  <c r="V36"/>
  <c r="W10"/>
  <c r="V39"/>
  <c r="V10"/>
  <c r="W9"/>
  <c r="O47"/>
  <c r="S47" s="1"/>
  <c r="X47" s="1"/>
  <c r="O32"/>
  <c r="S32" s="1"/>
  <c r="X32" s="1"/>
  <c r="V9"/>
  <c r="L28"/>
  <c r="L16"/>
  <c r="M28"/>
  <c r="M16"/>
  <c r="K28"/>
  <c r="K16"/>
  <c r="L105"/>
  <c r="L23"/>
  <c r="M23"/>
  <c r="K23"/>
  <c r="M9"/>
  <c r="L9"/>
  <c r="K9"/>
  <c r="M97"/>
  <c r="L97"/>
  <c r="K97"/>
  <c r="M96"/>
  <c r="L96"/>
  <c r="K96"/>
  <c r="M94"/>
  <c r="L94"/>
  <c r="K94"/>
  <c r="M46"/>
  <c r="L46"/>
  <c r="K46"/>
  <c r="M39"/>
  <c r="L39"/>
  <c r="K39"/>
  <c r="M34"/>
  <c r="L34"/>
  <c r="K34"/>
  <c r="M37"/>
  <c r="L37"/>
  <c r="K37"/>
  <c r="M57"/>
  <c r="L57"/>
  <c r="K57"/>
  <c r="M45"/>
  <c r="L45"/>
  <c r="K45"/>
  <c r="M38"/>
  <c r="L38"/>
  <c r="K38"/>
  <c r="M75"/>
  <c r="L75"/>
  <c r="K75"/>
  <c r="M44"/>
  <c r="L44"/>
  <c r="K44"/>
  <c r="M77"/>
  <c r="L77"/>
  <c r="K77"/>
  <c r="M76"/>
  <c r="L76"/>
  <c r="K76"/>
  <c r="M72"/>
  <c r="L72"/>
  <c r="K72"/>
  <c r="M68"/>
  <c r="L68"/>
  <c r="K68"/>
  <c r="M65"/>
  <c r="L65"/>
  <c r="K65"/>
  <c r="M29"/>
  <c r="L29"/>
  <c r="K29"/>
  <c r="M19"/>
  <c r="L19"/>
  <c r="K19"/>
  <c r="M20"/>
  <c r="L20"/>
  <c r="K20"/>
  <c r="M22"/>
  <c r="L22"/>
  <c r="K22"/>
  <c r="M86"/>
  <c r="M83"/>
  <c r="M80"/>
  <c r="M81"/>
  <c r="L86"/>
  <c r="L83"/>
  <c r="L80"/>
  <c r="L81"/>
  <c r="K86"/>
  <c r="K83"/>
  <c r="K80"/>
  <c r="K81"/>
  <c r="M30"/>
  <c r="L30"/>
  <c r="K30"/>
  <c r="M24"/>
  <c r="L24"/>
  <c r="K24"/>
  <c r="M17"/>
  <c r="L17"/>
  <c r="K17"/>
  <c r="M13"/>
  <c r="L13"/>
  <c r="K13"/>
  <c r="L95"/>
  <c r="M95"/>
  <c r="K95"/>
  <c r="M12"/>
  <c r="M10"/>
  <c r="L12"/>
  <c r="L10"/>
  <c r="K12"/>
  <c r="K10"/>
  <c r="K43"/>
  <c r="L43"/>
  <c r="M43"/>
  <c r="K56"/>
  <c r="L56"/>
  <c r="M56"/>
  <c r="K60"/>
  <c r="L60"/>
  <c r="M60"/>
  <c r="K63"/>
  <c r="L63"/>
  <c r="M63"/>
  <c r="K90"/>
  <c r="L90"/>
  <c r="M90"/>
  <c r="K91"/>
  <c r="L91"/>
  <c r="M91"/>
  <c r="K92"/>
  <c r="L92"/>
  <c r="M92"/>
  <c r="K93"/>
  <c r="L93"/>
  <c r="M93"/>
  <c r="K79"/>
  <c r="L79"/>
  <c r="M79"/>
  <c r="K82"/>
  <c r="L82"/>
  <c r="M82"/>
  <c r="K84"/>
  <c r="L84"/>
  <c r="M84"/>
  <c r="K89"/>
  <c r="L89"/>
  <c r="M89"/>
  <c r="K36"/>
  <c r="L36"/>
  <c r="M36"/>
  <c r="K42"/>
  <c r="L42"/>
  <c r="M42"/>
  <c r="K54"/>
  <c r="L54"/>
  <c r="M54"/>
  <c r="K61"/>
  <c r="L61"/>
  <c r="M61"/>
  <c r="K64"/>
  <c r="L64"/>
  <c r="M64"/>
  <c r="K67"/>
  <c r="L67"/>
  <c r="M67"/>
  <c r="K15"/>
  <c r="L15"/>
  <c r="M15"/>
  <c r="K14"/>
  <c r="L14"/>
  <c r="M14"/>
  <c r="K18"/>
  <c r="L18"/>
  <c r="M18"/>
  <c r="K26"/>
  <c r="L26"/>
  <c r="M26"/>
  <c r="K31"/>
  <c r="L31"/>
  <c r="M31"/>
  <c r="K49"/>
  <c r="L49"/>
  <c r="M49"/>
  <c r="K105"/>
  <c r="M105"/>
  <c r="K102"/>
  <c r="L102"/>
  <c r="M102"/>
  <c r="K103"/>
  <c r="L103"/>
  <c r="M103"/>
  <c r="K104"/>
  <c r="L104"/>
  <c r="M104"/>
  <c r="K25"/>
  <c r="L25"/>
  <c r="M25"/>
  <c r="K41"/>
  <c r="L41"/>
  <c r="M41"/>
  <c r="K106"/>
  <c r="L106"/>
  <c r="M106"/>
  <c r="K107"/>
  <c r="L107"/>
  <c r="M107"/>
  <c r="K108"/>
  <c r="L108"/>
  <c r="M108"/>
  <c r="K109"/>
  <c r="L109"/>
  <c r="M109"/>
  <c r="K110"/>
  <c r="L110"/>
  <c r="M110"/>
  <c r="T40" l="1"/>
  <c r="U40" s="1"/>
  <c r="Y27" s="1"/>
  <c r="W40"/>
  <c r="V47"/>
  <c r="T47"/>
  <c r="U47" s="1"/>
  <c r="W47"/>
  <c r="T32"/>
  <c r="U32" s="1"/>
  <c r="W32"/>
  <c r="V32"/>
  <c r="Y21" l="1"/>
  <c r="Y74"/>
  <c r="Y85"/>
  <c r="Y87"/>
  <c r="Y11"/>
  <c r="Y69"/>
  <c r="Y71"/>
  <c r="Y73"/>
  <c r="Y70"/>
  <c r="Y9"/>
  <c r="Y100"/>
  <c r="Y101"/>
  <c r="Y98"/>
  <c r="Y10"/>
  <c r="Y99"/>
  <c r="Y78"/>
  <c r="Y52"/>
  <c r="Y75"/>
  <c r="Y55"/>
  <c r="Y67"/>
  <c r="Y64"/>
  <c r="Y33"/>
  <c r="Y50"/>
  <c r="Y51"/>
  <c r="Y88"/>
  <c r="Y32"/>
  <c r="Y47"/>
  <c r="Y62"/>
  <c r="Y40"/>
  <c r="Y58"/>
  <c r="Y35"/>
  <c r="Y48"/>
  <c r="Y59"/>
  <c r="Y53"/>
  <c r="Y66"/>
  <c r="Y77"/>
  <c r="Y17"/>
  <c r="Y105"/>
  <c r="Y26"/>
  <c r="Y109"/>
  <c r="Y56"/>
  <c r="Y43"/>
  <c r="Y107"/>
  <c r="Y82"/>
  <c r="Y19"/>
  <c r="Y57"/>
  <c r="Y80"/>
  <c r="Y92"/>
  <c r="Y22"/>
  <c r="Y81"/>
  <c r="Y12"/>
  <c r="Y37"/>
  <c r="Y60"/>
  <c r="Y72"/>
  <c r="Y23"/>
  <c r="Y44"/>
  <c r="Y13"/>
  <c r="Y34"/>
  <c r="Y18"/>
  <c r="Y42"/>
  <c r="Y95"/>
  <c r="Y36"/>
  <c r="Y16"/>
  <c r="Y76"/>
  <c r="Y108"/>
  <c r="Y86"/>
  <c r="Y30"/>
  <c r="Y20"/>
  <c r="Y83"/>
  <c r="Y38"/>
  <c r="Y46"/>
  <c r="Y106"/>
  <c r="Y93"/>
  <c r="Y29"/>
  <c r="Y102"/>
  <c r="Y110"/>
  <c r="Y63"/>
  <c r="Y61"/>
  <c r="Y24"/>
  <c r="Y97"/>
  <c r="Y103"/>
  <c r="Y14"/>
  <c r="Y39"/>
  <c r="Y65"/>
  <c r="Y25"/>
  <c r="Y89"/>
  <c r="Y49"/>
  <c r="Y31"/>
  <c r="Y84"/>
  <c r="Y104"/>
  <c r="Y54"/>
  <c r="Y45"/>
  <c r="Y68"/>
  <c r="Y91"/>
  <c r="Y96"/>
  <c r="Y28"/>
  <c r="Y79"/>
  <c r="Y94"/>
  <c r="Y41"/>
  <c r="Y15"/>
  <c r="Y90" l="1"/>
</calcChain>
</file>

<file path=xl/comments1.xml><?xml version="1.0" encoding="utf-8"?>
<comments xmlns="http://schemas.openxmlformats.org/spreadsheetml/2006/main">
  <authors>
    <author>Jacob Rothfield</author>
    <author>Rhys Evans</author>
  </authors>
  <commentList>
    <comment ref="AJ8" authorId="0">
      <text>
        <r>
          <rPr>
            <b/>
            <sz val="8"/>
            <color indexed="81"/>
            <rFont val="Tahoma"/>
            <family val="2"/>
          </rPr>
          <t>Brought to you by Mob Choice / Jacob Rothfield (G WiZZ)</t>
        </r>
      </text>
    </comment>
    <comment ref="I13" authorId="1">
      <text>
        <r>
          <rPr>
            <b/>
            <sz val="9"/>
            <color indexed="81"/>
            <rFont val="Tahoma"/>
            <family val="2"/>
          </rPr>
          <t>Note: Needs Updating. Rates Change depending on use</t>
        </r>
      </text>
    </comment>
    <comment ref="I17" authorId="1">
      <text>
        <r>
          <rPr>
            <b/>
            <sz val="9"/>
            <color indexed="81"/>
            <rFont val="Tahoma"/>
            <family val="2"/>
          </rPr>
          <t>Note: Needs Updating. Rates Change depending on use</t>
        </r>
      </text>
    </comment>
    <comment ref="I24" authorId="1">
      <text>
        <r>
          <rPr>
            <b/>
            <sz val="9"/>
            <color indexed="81"/>
            <rFont val="Tahoma"/>
            <family val="2"/>
          </rPr>
          <t>Note: Needs Updating. Rates Change depending on use</t>
        </r>
      </text>
    </comment>
    <comment ref="I30" authorId="1">
      <text>
        <r>
          <rPr>
            <b/>
            <sz val="9"/>
            <color indexed="81"/>
            <rFont val="Tahoma"/>
            <family val="2"/>
          </rPr>
          <t>Note: Needs Updating. Rates Change depending on use</t>
        </r>
      </text>
    </comment>
    <comment ref="I90" authorId="1">
      <text>
        <r>
          <rPr>
            <b/>
            <sz val="9"/>
            <color indexed="81"/>
            <rFont val="Tahoma"/>
            <family val="2"/>
          </rPr>
          <t xml:space="preserve">Note: Needs Updating. Rates Change depending on use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91" authorId="1">
      <text>
        <r>
          <rPr>
            <b/>
            <sz val="9"/>
            <color indexed="81"/>
            <rFont val="Tahoma"/>
            <family val="2"/>
          </rPr>
          <t>Note: Needs Updating. Rates Change depending on use</t>
        </r>
      </text>
    </comment>
    <comment ref="I92" authorId="1">
      <text>
        <r>
          <rPr>
            <b/>
            <sz val="9"/>
            <color indexed="81"/>
            <rFont val="Tahoma"/>
            <family val="2"/>
          </rPr>
          <t>Note: Needs Updating. Rates Change depending on use</t>
        </r>
      </text>
    </comment>
    <comment ref="I93" authorId="1">
      <text>
        <r>
          <rPr>
            <b/>
            <sz val="9"/>
            <color indexed="81"/>
            <rFont val="Tahoma"/>
            <family val="2"/>
          </rPr>
          <t>Note: Needs Updating. Rates Change depending on use</t>
        </r>
      </text>
    </comment>
    <comment ref="I95" authorId="1">
      <text>
        <r>
          <rPr>
            <b/>
            <sz val="9"/>
            <color indexed="81"/>
            <rFont val="Tahoma"/>
            <family val="2"/>
          </rPr>
          <t>Note: Needs Updating. Rates Change depending on use</t>
        </r>
      </text>
    </comment>
  </commentList>
</comments>
</file>

<file path=xl/sharedStrings.xml><?xml version="1.0" encoding="utf-8"?>
<sst xmlns="http://schemas.openxmlformats.org/spreadsheetml/2006/main" count="616" uniqueCount="167">
  <si>
    <t>Company</t>
  </si>
  <si>
    <t>Inc Credit</t>
  </si>
  <si>
    <t>Flagfall</t>
  </si>
  <si>
    <t>Rate/Min</t>
  </si>
  <si>
    <t>Multiplier</t>
  </si>
  <si>
    <t>Vmail Flagfall</t>
  </si>
  <si>
    <t>Vmail Rate/min</t>
  </si>
  <si>
    <t>Cost per SMS</t>
  </si>
  <si>
    <t>Real Cost</t>
  </si>
  <si>
    <t>% of Cap Used</t>
  </si>
  <si>
    <t>Money Left</t>
  </si>
  <si>
    <t>OverCap</t>
  </si>
  <si>
    <t>Telstra</t>
  </si>
  <si>
    <t>SMS</t>
  </si>
  <si>
    <t>Optus</t>
  </si>
  <si>
    <t>Vodafone</t>
  </si>
  <si>
    <t>Three</t>
  </si>
  <si>
    <t>Savvytel</t>
  </si>
  <si>
    <t>Effective
Rate/min</t>
  </si>
  <si>
    <t>Effective
Flagfall</t>
  </si>
  <si>
    <t>Rank</t>
  </si>
  <si>
    <t>Prepaid/Postpaid</t>
  </si>
  <si>
    <t>Network</t>
  </si>
  <si>
    <t>Live Billing</t>
  </si>
  <si>
    <t>Average Call Length (mins)</t>
  </si>
  <si>
    <t>No</t>
  </si>
  <si>
    <t>Postpaid</t>
  </si>
  <si>
    <t>Yes</t>
  </si>
  <si>
    <t>Bonus to same Network</t>
  </si>
  <si>
    <t>Yes time &amp; free for 5</t>
  </si>
  <si>
    <t>Prepaid</t>
  </si>
  <si>
    <t>Credit Rolls Over when recharging</t>
  </si>
  <si>
    <t>Either</t>
  </si>
  <si>
    <t>Limited</t>
  </si>
  <si>
    <t>Unlimited</t>
  </si>
  <si>
    <t>None</t>
  </si>
  <si>
    <t>Yes time</t>
  </si>
  <si>
    <t>AAPT</t>
  </si>
  <si>
    <t>Inspired By Mobchoice.com.au</t>
  </si>
  <si>
    <t>DATA (MB)</t>
  </si>
  <si>
    <t>Data</t>
  </si>
  <si>
    <t>Per Month</t>
  </si>
  <si>
    <t>Calls</t>
  </si>
  <si>
    <t>&lt;-------- Enter Your Monthly Bill</t>
  </si>
  <si>
    <t xml:space="preserve">Exetel Mobile 10 Cap </t>
  </si>
  <si>
    <t xml:space="preserve">Exetel Mobile 40 Cap </t>
  </si>
  <si>
    <t xml:space="preserve">Exetel Mobile 20 Cap </t>
  </si>
  <si>
    <t xml:space="preserve">Exetel Mobile 70 Cap </t>
  </si>
  <si>
    <t>Free txt, Free 2min calls</t>
  </si>
  <si>
    <t>TPG 49 Cap Saver</t>
  </si>
  <si>
    <t>TPG 79 Cap Saver</t>
  </si>
  <si>
    <t>Free Data (MB)</t>
  </si>
  <si>
    <t>Data Cost ($)</t>
  </si>
  <si>
    <t>Sort Error When Data Enabled</t>
  </si>
  <si>
    <t>Cost</t>
  </si>
  <si>
    <t>Data Pack (MB)</t>
  </si>
  <si>
    <t>&lt;--</t>
  </si>
  <si>
    <t>Cost ($)</t>
  </si>
  <si>
    <t>Price After Free Data ($/MB)</t>
  </si>
  <si>
    <t>MMS</t>
  </si>
  <si>
    <t>Cost Per MMS</t>
  </si>
  <si>
    <t>Expires In (Days)</t>
  </si>
  <si>
    <t>Effective Cost/Month</t>
  </si>
  <si>
    <t>Telstra 49 Cap</t>
  </si>
  <si>
    <t>Telstra 79 Cap</t>
  </si>
  <si>
    <t>Telstra 99 Cap</t>
  </si>
  <si>
    <t>Telstra 129 Cap</t>
  </si>
  <si>
    <t>Telstra Phone Plan 20</t>
  </si>
  <si>
    <t>Telstra Phone Plan 30</t>
  </si>
  <si>
    <t>Telstra Phone Plan 40</t>
  </si>
  <si>
    <t>Telstra Phone Plan 60</t>
  </si>
  <si>
    <t>Telstra Phone Plan 80</t>
  </si>
  <si>
    <t>Telstra Phone Plan 100</t>
  </si>
  <si>
    <t>Telstra Phone Plan 150</t>
  </si>
  <si>
    <t>Telstra Phone Plan 250</t>
  </si>
  <si>
    <t>Dodo Contract Cap 12.9</t>
  </si>
  <si>
    <t>Dodo Contract Cap 19.9</t>
  </si>
  <si>
    <t>Dodo Contract Cap 29.9</t>
  </si>
  <si>
    <t>Dodo Contract Cap 49.9</t>
  </si>
  <si>
    <t>Dodo Cap 19.9</t>
  </si>
  <si>
    <t>Dodo Cap 29.9</t>
  </si>
  <si>
    <t>Dodo Cap 49.9</t>
  </si>
  <si>
    <t>Dodo Cap 79.9</t>
  </si>
  <si>
    <t>Dodo Prepaid 15</t>
  </si>
  <si>
    <t>Dodo Prepaid 30</t>
  </si>
  <si>
    <t>Dodo Prepaid 50</t>
  </si>
  <si>
    <t>Dodo Prepaid 100</t>
  </si>
  <si>
    <t>Optus Cap Plans 19</t>
  </si>
  <si>
    <t>Optus Cap Plans 49</t>
  </si>
  <si>
    <t>Optus Cap Plans 79</t>
  </si>
  <si>
    <t>Optus Prepaid TurboCharge 30</t>
  </si>
  <si>
    <t>Optus Prepaid TurboCharge 40</t>
  </si>
  <si>
    <t>Optus Prepaid TurboCharge 50</t>
  </si>
  <si>
    <t>Optus Prepaid TurboCharge 70</t>
  </si>
  <si>
    <t>Optus Prepaid TurboCharge 100</t>
  </si>
  <si>
    <t>Virgin Cap 30</t>
  </si>
  <si>
    <t>Virgin Cap 45</t>
  </si>
  <si>
    <t>Virgin Cap 65</t>
  </si>
  <si>
    <t>Virgin Cap 90</t>
  </si>
  <si>
    <t>Virgin Cap 20</t>
  </si>
  <si>
    <t>Virgin Cap 145</t>
  </si>
  <si>
    <t>Vodafone Prepaid Cap 29</t>
  </si>
  <si>
    <t>Vodafone Prepaid Cap 49</t>
  </si>
  <si>
    <t>Vodafone Prepaid Cap 79</t>
  </si>
  <si>
    <t>Vodafone Prepaid Cap 149</t>
  </si>
  <si>
    <t>Vodafone Cap Contract 29</t>
  </si>
  <si>
    <t>Vodafone Cap Contract 49</t>
  </si>
  <si>
    <t>Vodafone Cap Contract 79</t>
  </si>
  <si>
    <t>Vodafone Cap Contract 99</t>
  </si>
  <si>
    <t>Vodafone Cap Contract 129</t>
  </si>
  <si>
    <t>Vodafone Plan Contract 20</t>
  </si>
  <si>
    <t>Vodafone Plan Contract 30</t>
  </si>
  <si>
    <t>Vodafone Plan Contract 50</t>
  </si>
  <si>
    <t>Vodafone Plan Contract 80</t>
  </si>
  <si>
    <t>Vodafone Plan Contract 100</t>
  </si>
  <si>
    <t>Vodafone Plan Contract 150</t>
  </si>
  <si>
    <t>Three Cap 19</t>
  </si>
  <si>
    <t>Three Cap 29</t>
  </si>
  <si>
    <t>Three Cap 39</t>
  </si>
  <si>
    <t>Three Cap 49</t>
  </si>
  <si>
    <t>Three Cap 69</t>
  </si>
  <si>
    <t>Three Cap 99</t>
  </si>
  <si>
    <t>Three Cap 129</t>
  </si>
  <si>
    <t>Three Cap 149</t>
  </si>
  <si>
    <t>Three Cap 199</t>
  </si>
  <si>
    <t>?</t>
  </si>
  <si>
    <t>Voicemail Calls</t>
  </si>
  <si>
    <t>Crazy Johns Cap 19</t>
  </si>
  <si>
    <t>Crazy Johns Cap 29</t>
  </si>
  <si>
    <t>Crazy Johns Cap 49</t>
  </si>
  <si>
    <t>Crazy Johns Cap 79</t>
  </si>
  <si>
    <t>Crazy Johns Cap 99</t>
  </si>
  <si>
    <t>Vodaphone</t>
  </si>
  <si>
    <t>People Telecom SimplePlan 120</t>
  </si>
  <si>
    <t>People Telecom SimplePlan 40</t>
  </si>
  <si>
    <t>People Telecom SimplePlan 70</t>
  </si>
  <si>
    <t>People Telecom SimplePlan 90</t>
  </si>
  <si>
    <t>People Telecom SimplePlan 20</t>
  </si>
  <si>
    <t>DATA PACKS AVAILABLE</t>
  </si>
  <si>
    <t>YES</t>
  </si>
  <si>
    <t>ANY</t>
  </si>
  <si>
    <t>Gotalk My Cap 5</t>
  </si>
  <si>
    <t>Gotalk My Cap 15</t>
  </si>
  <si>
    <t>Gotalk My Cap 25</t>
  </si>
  <si>
    <t>Gotalk My Cap 45</t>
  </si>
  <si>
    <t>Gotalk My Cap 75</t>
  </si>
  <si>
    <t>Total Cost (Ex Data)($)</t>
  </si>
  <si>
    <t>TPG Starter</t>
  </si>
  <si>
    <t>TPG Basic</t>
  </si>
  <si>
    <t>TPG Premium</t>
  </si>
  <si>
    <t>TPG Executive</t>
  </si>
  <si>
    <t>Added New TPG Plans, Starter &amp; Basic</t>
  </si>
  <si>
    <t>Version</t>
  </si>
  <si>
    <t>Date</t>
  </si>
  <si>
    <t>Description</t>
  </si>
  <si>
    <t>Added Changelog Sheet In Excel</t>
  </si>
  <si>
    <t>Data After Free Data Included In Cap</t>
  </si>
  <si>
    <t>NO</t>
  </si>
  <si>
    <t>Think Mobile Telstra 12</t>
  </si>
  <si>
    <t>Must be on Contract</t>
  </si>
  <si>
    <t>Think Mobile Vodaphone 12</t>
  </si>
  <si>
    <t>Think Mobile Telstra 36</t>
  </si>
  <si>
    <t>Think Mobile Vodaphone 36</t>
  </si>
  <si>
    <t>Think Mobile Telstra 50</t>
  </si>
  <si>
    <t>Think Mobile Vodaphone 50</t>
  </si>
  <si>
    <t>Added Think Mobile Plans</t>
  </si>
  <si>
    <t>The Mega Phone Provider Spreadsheet
Last Updated 12/04/2009 | Version 1.01
http://www.ardorpes.com</t>
  </si>
</sst>
</file>

<file path=xl/styles.xml><?xml version="1.0" encoding="utf-8"?>
<styleSheet xmlns="http://schemas.openxmlformats.org/spreadsheetml/2006/main">
  <numFmts count="4">
    <numFmt numFmtId="44" formatCode="_-&quot;$&quot;* #,##0.00_-;\-&quot;$&quot;* #,##0.00_-;_-&quot;$&quot;* &quot;-&quot;??_-;_-@_-"/>
    <numFmt numFmtId="164" formatCode="_-[$$-C09]* #,##0.00_-;\-[$$-C09]* #,##0.00_-;_-[$$-C09]* &quot;-&quot;??_-;_-@_-"/>
    <numFmt numFmtId="165" formatCode="0.000"/>
    <numFmt numFmtId="166" formatCode="&quot;$&quot;#,##0.00"/>
  </numFmts>
  <fonts count="16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u/>
      <sz val="10"/>
      <color indexed="8"/>
      <name val="Arial"/>
      <family val="2"/>
    </font>
    <font>
      <b/>
      <sz val="8"/>
      <color indexed="81"/>
      <name val="Tahoma"/>
      <family val="2"/>
    </font>
    <font>
      <sz val="10"/>
      <color indexed="8"/>
      <name val="Arial"/>
      <family val="2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indexed="8"/>
      <name val="Arial"/>
      <family val="2"/>
    </font>
    <font>
      <b/>
      <sz val="10"/>
      <name val="Arial"/>
      <family val="2"/>
    </font>
    <font>
      <u/>
      <sz val="10"/>
      <color theme="10"/>
      <name val="Arial"/>
      <family val="2"/>
    </font>
    <font>
      <sz val="11"/>
      <color rgb="FF9C0006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rgb="FF0061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6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7CE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C6EFCE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rgb="FF3F3F3F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double">
        <color rgb="FF3F3F3F"/>
      </top>
      <bottom/>
      <diagonal/>
    </border>
    <border>
      <left/>
      <right/>
      <top style="double">
        <color rgb="FF3F3F3F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/>
      <bottom/>
      <diagonal/>
    </border>
  </borders>
  <cellStyleXfs count="9">
    <xf numFmtId="0" fontId="0" fillId="0" borderId="0" applyNumberFormat="0" applyFon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4" applyNumberFormat="0" applyAlignment="0" applyProtection="0"/>
    <xf numFmtId="44" fontId="2" fillId="0" borderId="0" applyNumberFormat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2" fillId="7" borderId="0" applyNumberFormat="0" applyBorder="0" applyAlignment="0" applyProtection="0"/>
    <xf numFmtId="0" fontId="1" fillId="9" borderId="0" applyNumberFormat="0" applyBorder="0" applyAlignment="0" applyProtection="0"/>
    <xf numFmtId="0" fontId="15" fillId="11" borderId="0" applyNumberFormat="0" applyBorder="0" applyAlignment="0" applyProtection="0"/>
  </cellStyleXfs>
  <cellXfs count="90">
    <xf numFmtId="0" fontId="0" fillId="0" borderId="0" xfId="0" applyNumberFormat="1" applyFont="1" applyFill="1" applyBorder="1" applyAlignment="1"/>
    <xf numFmtId="0" fontId="3" fillId="0" borderId="0" xfId="0" applyNumberFormat="1" applyFont="1" applyFill="1" applyBorder="1" applyAlignment="1">
      <alignment wrapText="1"/>
    </xf>
    <xf numFmtId="4" fontId="3" fillId="0" borderId="0" xfId="0" applyNumberFormat="1" applyFont="1" applyFill="1" applyBorder="1" applyAlignment="1">
      <alignment wrapText="1"/>
    </xf>
    <xf numFmtId="9" fontId="3" fillId="0" borderId="0" xfId="0" applyNumberFormat="1" applyFont="1" applyFill="1" applyBorder="1" applyAlignment="1">
      <alignment wrapText="1"/>
    </xf>
    <xf numFmtId="2" fontId="3" fillId="0" borderId="0" xfId="0" applyNumberFormat="1" applyFont="1" applyFill="1" applyBorder="1" applyAlignment="1">
      <alignment wrapText="1"/>
    </xf>
    <xf numFmtId="2" fontId="0" fillId="0" borderId="0" xfId="0" applyNumberFormat="1" applyFont="1" applyFill="1" applyBorder="1" applyAlignment="1"/>
    <xf numFmtId="0" fontId="3" fillId="0" borderId="0" xfId="4" applyNumberFormat="1" applyFont="1" applyFill="1" applyBorder="1" applyAlignment="1">
      <alignment wrapText="1"/>
    </xf>
    <xf numFmtId="0" fontId="0" fillId="0" borderId="0" xfId="4" applyNumberFormat="1" applyFont="1" applyFill="1" applyBorder="1" applyAlignment="1"/>
    <xf numFmtId="164" fontId="3" fillId="0" borderId="0" xfId="4" applyNumberFormat="1" applyFont="1" applyFill="1" applyBorder="1" applyAlignment="1">
      <alignment wrapText="1"/>
    </xf>
    <xf numFmtId="164" fontId="0" fillId="0" borderId="0" xfId="4" applyNumberFormat="1" applyFont="1" applyFill="1" applyBorder="1" applyAlignment="1"/>
    <xf numFmtId="0" fontId="0" fillId="5" borderId="0" xfId="0" applyNumberFormat="1" applyFont="1" applyFill="1" applyBorder="1" applyAlignment="1"/>
    <xf numFmtId="0" fontId="4" fillId="6" borderId="0" xfId="0" applyNumberFormat="1" applyFont="1" applyFill="1" applyBorder="1" applyAlignment="1">
      <alignment wrapText="1"/>
    </xf>
    <xf numFmtId="165" fontId="0" fillId="0" borderId="0" xfId="0" applyNumberFormat="1" applyFont="1" applyFill="1" applyBorder="1" applyAlignment="1"/>
    <xf numFmtId="165" fontId="3" fillId="0" borderId="0" xfId="0" applyNumberFormat="1" applyFont="1" applyFill="1" applyBorder="1" applyAlignment="1">
      <alignment wrapText="1"/>
    </xf>
    <xf numFmtId="0" fontId="0" fillId="0" borderId="0" xfId="0" applyNumberFormat="1" applyFill="1" applyBorder="1" applyAlignment="1"/>
    <xf numFmtId="0" fontId="10" fillId="0" borderId="0" xfId="0" applyNumberFormat="1" applyFont="1" applyFill="1" applyBorder="1" applyAlignment="1"/>
    <xf numFmtId="0" fontId="9" fillId="0" borderId="0" xfId="0" applyNumberFormat="1" applyFont="1" applyFill="1" applyBorder="1" applyAlignment="1">
      <alignment wrapText="1"/>
    </xf>
    <xf numFmtId="0" fontId="3" fillId="0" borderId="0" xfId="4" applyNumberFormat="1" applyFont="1" applyFill="1" applyBorder="1" applyAlignment="1">
      <alignment horizontal="center" vertical="center" wrapText="1"/>
    </xf>
    <xf numFmtId="0" fontId="0" fillId="0" borderId="0" xfId="4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/>
    </xf>
    <xf numFmtId="0" fontId="7" fillId="3" borderId="0" xfId="2" applyNumberFormat="1" applyBorder="1" applyAlignment="1">
      <alignment horizontal="center" vertical="center" wrapText="1"/>
    </xf>
    <xf numFmtId="0" fontId="12" fillId="7" borderId="5" xfId="6" applyNumberFormat="1" applyBorder="1" applyAlignment="1">
      <alignment horizontal="center" wrapText="1"/>
    </xf>
    <xf numFmtId="0" fontId="12" fillId="7" borderId="6" xfId="6" applyNumberFormat="1" applyBorder="1" applyAlignment="1">
      <alignment horizontal="center" wrapText="1"/>
    </xf>
    <xf numFmtId="0" fontId="12" fillId="7" borderId="5" xfId="6" applyNumberFormat="1" applyBorder="1" applyAlignment="1">
      <alignment wrapText="1"/>
    </xf>
    <xf numFmtId="0" fontId="12" fillId="7" borderId="1" xfId="6" applyNumberFormat="1" applyBorder="1" applyAlignment="1">
      <alignment horizontal="center" wrapText="1"/>
    </xf>
    <xf numFmtId="0" fontId="12" fillId="7" borderId="5" xfId="6" applyNumberFormat="1" applyBorder="1" applyAlignment="1">
      <alignment horizontal="center" vertical="center"/>
    </xf>
    <xf numFmtId="0" fontId="12" fillId="7" borderId="2" xfId="6" applyNumberFormat="1" applyBorder="1" applyAlignment="1"/>
    <xf numFmtId="0" fontId="12" fillId="7" borderId="5" xfId="6" applyNumberFormat="1" applyBorder="1" applyAlignment="1">
      <alignment horizontal="center" vertical="center" wrapText="1"/>
    </xf>
    <xf numFmtId="0" fontId="12" fillId="7" borderId="11" xfId="6" applyNumberFormat="1" applyBorder="1" applyAlignment="1">
      <alignment horizontal="center" wrapText="1"/>
    </xf>
    <xf numFmtId="0" fontId="1" fillId="9" borderId="0" xfId="7" applyNumberFormat="1" applyBorder="1" applyAlignment="1">
      <alignment horizontal="center" vertical="center" wrapText="1"/>
    </xf>
    <xf numFmtId="0" fontId="1" fillId="9" borderId="13" xfId="7" applyNumberFormat="1" applyBorder="1" applyAlignment="1">
      <alignment horizontal="center" vertical="center" wrapText="1"/>
    </xf>
    <xf numFmtId="0" fontId="1" fillId="9" borderId="14" xfId="7" applyNumberFormat="1" applyBorder="1" applyAlignment="1">
      <alignment horizontal="center" vertical="center" wrapText="1"/>
    </xf>
    <xf numFmtId="0" fontId="1" fillId="9" borderId="15" xfId="7" applyNumberFormat="1" applyBorder="1" applyAlignment="1">
      <alignment horizontal="center" vertical="center" wrapText="1"/>
    </xf>
    <xf numFmtId="165" fontId="1" fillId="9" borderId="0" xfId="7" applyNumberFormat="1" applyBorder="1" applyAlignment="1">
      <alignment horizontal="center" vertical="center" wrapText="1"/>
    </xf>
    <xf numFmtId="2" fontId="1" fillId="9" borderId="16" xfId="7" applyNumberFormat="1" applyBorder="1" applyAlignment="1">
      <alignment horizontal="center" vertical="center" wrapText="1"/>
    </xf>
    <xf numFmtId="165" fontId="1" fillId="9" borderId="17" xfId="7" applyNumberFormat="1" applyBorder="1" applyAlignment="1">
      <alignment horizontal="center" vertical="center" wrapText="1"/>
    </xf>
    <xf numFmtId="4" fontId="1" fillId="9" borderId="18" xfId="7" applyNumberFormat="1" applyBorder="1" applyAlignment="1">
      <alignment horizontal="center" vertical="center" wrapText="1"/>
    </xf>
    <xf numFmtId="2" fontId="1" fillId="9" borderId="19" xfId="7" applyNumberFormat="1" applyBorder="1" applyAlignment="1">
      <alignment horizontal="center" vertical="center" wrapText="1"/>
    </xf>
    <xf numFmtId="4" fontId="1" fillId="9" borderId="20" xfId="7" applyNumberFormat="1" applyBorder="1" applyAlignment="1">
      <alignment horizontal="center" vertical="center" wrapText="1"/>
    </xf>
    <xf numFmtId="2" fontId="1" fillId="9" borderId="21" xfId="7" applyNumberFormat="1" applyBorder="1" applyAlignment="1">
      <alignment horizontal="center" vertical="center" wrapText="1"/>
    </xf>
    <xf numFmtId="165" fontId="1" fillId="9" borderId="8" xfId="7" applyNumberFormat="1" applyBorder="1" applyAlignment="1">
      <alignment horizontal="center" vertical="center" wrapText="1"/>
    </xf>
    <xf numFmtId="164" fontId="1" fillId="9" borderId="0" xfId="7" applyNumberFormat="1" applyBorder="1" applyAlignment="1">
      <alignment horizontal="center" vertical="center" wrapText="1"/>
    </xf>
    <xf numFmtId="9" fontId="1" fillId="9" borderId="0" xfId="7" applyNumberFormat="1" applyBorder="1" applyAlignment="1">
      <alignment horizontal="center" vertical="center" wrapText="1"/>
    </xf>
    <xf numFmtId="166" fontId="1" fillId="9" borderId="16" xfId="7" applyNumberFormat="1" applyBorder="1" applyAlignment="1">
      <alignment horizontal="center" vertical="center" wrapText="1"/>
    </xf>
    <xf numFmtId="0" fontId="1" fillId="9" borderId="17" xfId="7" applyNumberFormat="1" applyBorder="1" applyAlignment="1">
      <alignment horizontal="center" vertical="center" wrapText="1"/>
    </xf>
    <xf numFmtId="164" fontId="1" fillId="9" borderId="17" xfId="7" applyNumberFormat="1" applyBorder="1" applyAlignment="1">
      <alignment horizontal="center" vertical="center" wrapText="1"/>
    </xf>
    <xf numFmtId="9" fontId="1" fillId="9" borderId="17" xfId="7" applyNumberFormat="1" applyBorder="1" applyAlignment="1">
      <alignment horizontal="center" vertical="center" wrapText="1"/>
    </xf>
    <xf numFmtId="0" fontId="1" fillId="9" borderId="18" xfId="7" applyNumberFormat="1" applyBorder="1" applyAlignment="1">
      <alignment horizontal="center" vertical="center" wrapText="1"/>
    </xf>
    <xf numFmtId="166" fontId="1" fillId="9" borderId="19" xfId="7" applyNumberFormat="1" applyBorder="1" applyAlignment="1">
      <alignment horizontal="center" vertical="center" wrapText="1"/>
    </xf>
    <xf numFmtId="0" fontId="1" fillId="9" borderId="20" xfId="7" applyNumberFormat="1" applyBorder="1" applyAlignment="1">
      <alignment horizontal="center" vertical="center" wrapText="1"/>
    </xf>
    <xf numFmtId="166" fontId="1" fillId="9" borderId="21" xfId="7" applyNumberFormat="1" applyBorder="1" applyAlignment="1">
      <alignment horizontal="center" vertical="center" wrapText="1"/>
    </xf>
    <xf numFmtId="0" fontId="1" fillId="9" borderId="8" xfId="7" applyNumberFormat="1" applyBorder="1" applyAlignment="1">
      <alignment horizontal="center" vertical="center" wrapText="1"/>
    </xf>
    <xf numFmtId="164" fontId="1" fillId="9" borderId="8" xfId="7" applyNumberFormat="1" applyBorder="1" applyAlignment="1">
      <alignment horizontal="center" vertical="center" wrapText="1"/>
    </xf>
    <xf numFmtId="9" fontId="1" fillId="9" borderId="8" xfId="7" applyNumberFormat="1" applyBorder="1" applyAlignment="1">
      <alignment horizontal="center" vertical="center" wrapText="1"/>
    </xf>
    <xf numFmtId="0" fontId="1" fillId="9" borderId="22" xfId="7" applyNumberFormat="1" applyBorder="1" applyAlignment="1">
      <alignment horizontal="center" vertical="center" wrapText="1"/>
    </xf>
    <xf numFmtId="0" fontId="7" fillId="2" borderId="3" xfId="1" applyNumberFormat="1" applyBorder="1" applyAlignment="1">
      <alignment horizontal="center" vertical="top" wrapText="1"/>
    </xf>
    <xf numFmtId="0" fontId="7" fillId="2" borderId="12" xfId="1" applyNumberFormat="1" applyBorder="1" applyAlignment="1">
      <alignment horizontal="center" vertical="top" wrapText="1"/>
    </xf>
    <xf numFmtId="0" fontId="7" fillId="2" borderId="7" xfId="1" applyNumberFormat="1" applyBorder="1" applyAlignment="1">
      <alignment horizontal="center" vertical="top" wrapText="1"/>
    </xf>
    <xf numFmtId="2" fontId="7" fillId="2" borderId="12" xfId="1" applyNumberFormat="1" applyBorder="1" applyAlignment="1">
      <alignment horizontal="center" vertical="top" wrapText="1"/>
    </xf>
    <xf numFmtId="165" fontId="7" fillId="2" borderId="12" xfId="1" applyNumberFormat="1" applyBorder="1" applyAlignment="1">
      <alignment horizontal="center" vertical="top" wrapText="1"/>
    </xf>
    <xf numFmtId="4" fontId="7" fillId="2" borderId="12" xfId="1" applyNumberFormat="1" applyBorder="1" applyAlignment="1">
      <alignment horizontal="center" vertical="top" wrapText="1"/>
    </xf>
    <xf numFmtId="164" fontId="7" fillId="2" borderId="12" xfId="1" applyNumberFormat="1" applyBorder="1" applyAlignment="1">
      <alignment horizontal="center" vertical="top" wrapText="1"/>
    </xf>
    <xf numFmtId="9" fontId="7" fillId="2" borderId="12" xfId="1" applyNumberFormat="1" applyBorder="1" applyAlignment="1">
      <alignment horizontal="center" vertical="top" wrapText="1"/>
    </xf>
    <xf numFmtId="0" fontId="7" fillId="3" borderId="3" xfId="2" applyNumberFormat="1" applyBorder="1" applyAlignment="1">
      <alignment horizontal="center" vertical="top" wrapText="1"/>
    </xf>
    <xf numFmtId="0" fontId="11" fillId="10" borderId="0" xfId="5" applyNumberFormat="1" applyFill="1" applyBorder="1" applyAlignment="1" applyProtection="1">
      <alignment wrapText="1"/>
    </xf>
    <xf numFmtId="0" fontId="3" fillId="8" borderId="0" xfId="4" applyNumberFormat="1" applyFont="1" applyFill="1" applyBorder="1" applyAlignment="1">
      <alignment horizontal="center" vertical="center" wrapText="1"/>
    </xf>
    <xf numFmtId="4" fontId="1" fillId="9" borderId="22" xfId="7" applyNumberFormat="1" applyBorder="1" applyAlignment="1">
      <alignment horizontal="center" vertical="center" wrapText="1"/>
    </xf>
    <xf numFmtId="14" fontId="0" fillId="0" borderId="0" xfId="0" applyNumberFormat="1" applyFont="1" applyFill="1" applyBorder="1" applyAlignment="1"/>
    <xf numFmtId="0" fontId="15" fillId="11" borderId="0" xfId="8" applyNumberFormat="1" applyBorder="1" applyAlignment="1"/>
    <xf numFmtId="0" fontId="10" fillId="0" borderId="0" xfId="4" applyNumberFormat="1" applyFont="1" applyFill="1" applyBorder="1" applyAlignment="1">
      <alignment horizontal="center" textRotation="90"/>
    </xf>
    <xf numFmtId="0" fontId="7" fillId="2" borderId="23" xfId="1" applyNumberFormat="1" applyBorder="1" applyAlignment="1">
      <alignment horizontal="center" vertical="top" wrapText="1"/>
    </xf>
    <xf numFmtId="0" fontId="12" fillId="0" borderId="0" xfId="6" applyNumberFormat="1" applyFill="1" applyBorder="1" applyAlignment="1">
      <alignment horizontal="center" vertical="center"/>
    </xf>
    <xf numFmtId="2" fontId="7" fillId="0" borderId="0" xfId="0" applyNumberFormat="1" applyFont="1" applyFill="1" applyBorder="1" applyAlignment="1"/>
    <xf numFmtId="165" fontId="7" fillId="0" borderId="0" xfId="0" applyNumberFormat="1" applyFont="1" applyFill="1" applyBorder="1" applyAlignment="1"/>
    <xf numFmtId="0" fontId="12" fillId="7" borderId="1" xfId="6" applyNumberFormat="1" applyBorder="1" applyAlignment="1">
      <alignment horizontal="center" wrapText="1"/>
    </xf>
    <xf numFmtId="0" fontId="12" fillId="7" borderId="11" xfId="6" applyNumberFormat="1" applyBorder="1" applyAlignment="1">
      <alignment horizontal="center" wrapText="1"/>
    </xf>
    <xf numFmtId="0" fontId="12" fillId="7" borderId="2" xfId="6" applyNumberFormat="1" applyBorder="1" applyAlignment="1">
      <alignment horizontal="center" wrapText="1"/>
    </xf>
    <xf numFmtId="0" fontId="12" fillId="7" borderId="5" xfId="6" applyNumberFormat="1" applyBorder="1" applyAlignment="1">
      <alignment horizontal="center" wrapText="1"/>
    </xf>
    <xf numFmtId="0" fontId="12" fillId="7" borderId="5" xfId="6" applyNumberFormat="1" applyBorder="1" applyAlignment="1"/>
    <xf numFmtId="0" fontId="8" fillId="4" borderId="4" xfId="3" applyNumberFormat="1" applyAlignment="1">
      <alignment horizontal="center" wrapText="1"/>
    </xf>
    <xf numFmtId="0" fontId="8" fillId="4" borderId="4" xfId="3" applyNumberFormat="1" applyAlignment="1">
      <alignment horizontal="center"/>
    </xf>
    <xf numFmtId="0" fontId="12" fillId="7" borderId="5" xfId="6" applyNumberFormat="1" applyBorder="1" applyAlignment="1">
      <alignment horizontal="center"/>
    </xf>
    <xf numFmtId="0" fontId="12" fillId="7" borderId="5" xfId="6" applyNumberFormat="1" applyBorder="1" applyAlignment="1">
      <alignment horizontal="center" vertical="center" wrapText="1"/>
    </xf>
    <xf numFmtId="0" fontId="12" fillId="7" borderId="5" xfId="6" applyNumberFormat="1" applyBorder="1" applyAlignment="1">
      <alignment horizontal="center" vertical="center"/>
    </xf>
    <xf numFmtId="2" fontId="10" fillId="0" borderId="9" xfId="0" applyNumberFormat="1" applyFont="1" applyFill="1" applyBorder="1" applyAlignment="1">
      <alignment horizontal="center"/>
    </xf>
    <xf numFmtId="2" fontId="10" fillId="0" borderId="10" xfId="0" applyNumberFormat="1" applyFont="1" applyFill="1" applyBorder="1" applyAlignment="1">
      <alignment horizontal="center"/>
    </xf>
    <xf numFmtId="0" fontId="10" fillId="0" borderId="8" xfId="4" applyNumberFormat="1" applyFont="1" applyFill="1" applyBorder="1" applyAlignment="1">
      <alignment horizontal="center" textRotation="90"/>
    </xf>
    <xf numFmtId="0" fontId="11" fillId="10" borderId="0" xfId="0" applyNumberFormat="1" applyFont="1" applyFill="1" applyBorder="1" applyAlignment="1" applyProtection="1">
      <alignment wrapText="1"/>
    </xf>
  </cellXfs>
  <cellStyles count="9">
    <cellStyle name="20% - Accent3" xfId="7" builtinId="38"/>
    <cellStyle name="Accent3" xfId="1" builtinId="37"/>
    <cellStyle name="Accent5" xfId="2" builtinId="45"/>
    <cellStyle name="Bad" xfId="6" builtinId="27"/>
    <cellStyle name="Check Cell" xfId="3" builtinId="23"/>
    <cellStyle name="Currency" xfId="4" builtinId="4"/>
    <cellStyle name="Good" xfId="8" builtinId="26"/>
    <cellStyle name="Hyperlink" xfId="5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10000"/>
      <rgbColor rgb="00FFFFFF"/>
      <rgbColor rgb="00FFFF00"/>
      <rgbColor rgb="00CCFFFF"/>
      <rgbColor rgb="00FFCC00"/>
      <rgbColor rgb="00FFFF00"/>
      <rgbColor rgb="00FF00FF"/>
      <rgbColor rgb="0000FFFF"/>
      <rgbColor rgb="00800000"/>
      <rgbColor rgb="00008000"/>
      <rgbColor rgb="00000080"/>
      <rgbColor rgb="00808000"/>
      <rgbColor rgb="008080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CC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vodafone.com.au/personal/prepaid-mobile/prepaid-mobile-phone-caps.html" TargetMode="External"/><Relationship Id="rId13" Type="http://schemas.openxmlformats.org/officeDocument/2006/relationships/hyperlink" Target="http://www.crazyjohns.com.au/cap-plans/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https://personal.optus.com.au/web/ocaportal.portal?_nfpb=true&amp;_pageLabel=personal_mobile_producttypeMOB_marketSegmentres&amp;productpath=/personal/mobile&amp;FP=/personal/mobile/plansandratesmobile/capplans&amp;site=personal" TargetMode="External"/><Relationship Id="rId7" Type="http://schemas.openxmlformats.org/officeDocument/2006/relationships/hyperlink" Target="https://www.virginmobile.com.au/rates/PostPaid_YourCaps" TargetMode="External"/><Relationship Id="rId12" Type="http://schemas.openxmlformats.org/officeDocument/2006/relationships/hyperlink" Target="https://www.savvytel.com.au/compare.aspx" TargetMode="External"/><Relationship Id="rId17" Type="http://schemas.openxmlformats.org/officeDocument/2006/relationships/hyperlink" Target="http://www.aapt.com.au/services/personal-small-business/personal/mobile" TargetMode="External"/><Relationship Id="rId2" Type="http://schemas.openxmlformats.org/officeDocument/2006/relationships/hyperlink" Target="https://secure.dodo.com.au/mobile/PlanSelection.aspx?type=byo" TargetMode="External"/><Relationship Id="rId16" Type="http://schemas.openxmlformats.org/officeDocument/2006/relationships/hyperlink" Target="http://www.exetel.com.au/mobile_plans_capped.php" TargetMode="External"/><Relationship Id="rId20" Type="http://schemas.openxmlformats.org/officeDocument/2006/relationships/comments" Target="../comments1.xml"/><Relationship Id="rId1" Type="http://schemas.openxmlformats.org/officeDocument/2006/relationships/hyperlink" Target="http://www.dodo.com.au/mobile/prepaid.aspx" TargetMode="External"/><Relationship Id="rId6" Type="http://schemas.openxmlformats.org/officeDocument/2006/relationships/hyperlink" Target="http://www.telstra.com.au/mobile/plans/3g_nextg_cap_plans.html" TargetMode="External"/><Relationship Id="rId11" Type="http://schemas.openxmlformats.org/officeDocument/2006/relationships/hyperlink" Target="http://www.three.com.au/plans" TargetMode="External"/><Relationship Id="rId5" Type="http://schemas.openxmlformats.org/officeDocument/2006/relationships/hyperlink" Target="http://www.telstra.com.au/mobile/plans/phone_plan.html" TargetMode="External"/><Relationship Id="rId15" Type="http://schemas.openxmlformats.org/officeDocument/2006/relationships/hyperlink" Target="http://www.gotalk.com.au/Residential/Mobile/Pages/MobilePlans.aspx" TargetMode="External"/><Relationship Id="rId10" Type="http://schemas.openxmlformats.org/officeDocument/2006/relationships/hyperlink" Target="http://www.vodafone.com.au/personal/plans/contract/plans/index.htm" TargetMode="External"/><Relationship Id="rId19" Type="http://schemas.openxmlformats.org/officeDocument/2006/relationships/vmlDrawing" Target="../drawings/vmlDrawing1.vml"/><Relationship Id="rId4" Type="http://schemas.openxmlformats.org/officeDocument/2006/relationships/hyperlink" Target="https://personal.optus.com.au/web/ocaportal.portal?_nfpb=true&amp;_pageLabel=Template_wRHS&amp;FP=/personal/mobile/prepaidmobile/callingoffersandrates&amp;site=personal" TargetMode="External"/><Relationship Id="rId9" Type="http://schemas.openxmlformats.org/officeDocument/2006/relationships/hyperlink" Target="http://www.vodafone.com.au/personal/plans/contract/caps/index.htm" TargetMode="External"/><Relationship Id="rId14" Type="http://schemas.openxmlformats.org/officeDocument/2006/relationships/hyperlink" Target="http://www.peopletelecom.com.au/ser_mobile_simple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145"/>
  <sheetViews>
    <sheetView tabSelected="1" workbookViewId="0">
      <pane ySplit="8" topLeftCell="A9" activePane="bottomLeft" state="frozen"/>
      <selection pane="bottomLeft" activeCell="A2" sqref="A2"/>
    </sheetView>
  </sheetViews>
  <sheetFormatPr defaultRowHeight="12.75"/>
  <cols>
    <col min="1" max="1" width="28.85546875" bestFit="1" customWidth="1"/>
    <col min="2" max="2" width="6.42578125" style="7" customWidth="1"/>
    <col min="3" max="10" width="9.28515625" style="7" customWidth="1"/>
    <col min="11" max="11" width="9.28515625" style="5" customWidth="1"/>
    <col min="12" max="12" width="9.28515625" style="12" customWidth="1"/>
    <col min="13" max="13" width="9.28515625" customWidth="1"/>
    <col min="14" max="14" width="7.7109375" customWidth="1"/>
    <col min="15" max="15" width="9" customWidth="1"/>
    <col min="16" max="17" width="6.42578125" customWidth="1"/>
    <col min="18" max="18" width="9.5703125" bestFit="1" customWidth="1"/>
    <col min="19" max="19" width="9.28515625" customWidth="1"/>
    <col min="20" max="20" width="10" style="9" bestFit="1" customWidth="1"/>
    <col min="21" max="21" width="10.28515625" style="9" hidden="1" customWidth="1"/>
    <col min="22" max="22" width="10" bestFit="1" customWidth="1"/>
    <col min="23" max="23" width="7.140625" customWidth="1"/>
    <col min="24" max="24" width="8.7109375" customWidth="1"/>
    <col min="25" max="25" width="6.42578125" style="15" customWidth="1"/>
    <col min="26" max="26" width="9.28515625" customWidth="1"/>
    <col min="27" max="27" width="15" bestFit="1" customWidth="1"/>
    <col min="28" max="28" width="10.28515625" customWidth="1"/>
    <col min="29" max="31" width="9.28515625" customWidth="1"/>
    <col min="32" max="33" width="9" customWidth="1"/>
    <col min="34" max="44" width="8" bestFit="1" customWidth="1"/>
  </cols>
  <sheetData>
    <row r="1" spans="1:44" s="10" customFormat="1" ht="60" customHeight="1" thickTop="1" thickBot="1">
      <c r="A1" s="81" t="s">
        <v>166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</row>
    <row r="2" spans="1:44" ht="33" customHeight="1" thickTop="1">
      <c r="A2" s="23" t="s">
        <v>41</v>
      </c>
      <c r="B2" s="24" t="s">
        <v>40</v>
      </c>
      <c r="C2" s="79" t="s">
        <v>24</v>
      </c>
      <c r="D2" s="79"/>
      <c r="E2" s="79"/>
      <c r="F2" s="83"/>
      <c r="G2" s="86" t="s">
        <v>43</v>
      </c>
      <c r="H2" s="87"/>
      <c r="I2" s="87"/>
      <c r="J2" s="87"/>
      <c r="K2" s="87"/>
      <c r="U2" s="14" t="s">
        <v>38</v>
      </c>
    </row>
    <row r="3" spans="1:44" ht="15">
      <c r="A3" s="25" t="s">
        <v>42</v>
      </c>
      <c r="B3" s="26">
        <v>30</v>
      </c>
      <c r="C3" s="79">
        <v>0.68</v>
      </c>
      <c r="D3" s="79"/>
      <c r="E3" s="79"/>
      <c r="F3" s="80"/>
      <c r="H3" s="88" t="s">
        <v>56</v>
      </c>
      <c r="I3" s="88"/>
      <c r="J3" s="71"/>
    </row>
    <row r="4" spans="1:44" ht="15">
      <c r="A4" s="25" t="s">
        <v>126</v>
      </c>
      <c r="B4" s="26">
        <v>0</v>
      </c>
      <c r="C4" s="79">
        <v>0</v>
      </c>
      <c r="D4" s="79"/>
      <c r="E4" s="79"/>
      <c r="F4" s="80"/>
      <c r="H4" s="84" t="s">
        <v>55</v>
      </c>
      <c r="I4" s="85" t="s">
        <v>57</v>
      </c>
      <c r="J4" s="73"/>
    </row>
    <row r="5" spans="1:44" ht="15">
      <c r="A5" s="25" t="s">
        <v>13</v>
      </c>
      <c r="B5" s="26">
        <v>150</v>
      </c>
      <c r="C5" s="79"/>
      <c r="D5" s="79"/>
      <c r="E5" s="79"/>
      <c r="F5" s="80"/>
      <c r="H5" s="84"/>
      <c r="I5" s="85"/>
      <c r="J5" s="73"/>
      <c r="K5" s="74"/>
      <c r="L5" s="75"/>
    </row>
    <row r="6" spans="1:44" ht="15">
      <c r="A6" s="25" t="s">
        <v>59</v>
      </c>
      <c r="B6" s="26">
        <v>1</v>
      </c>
      <c r="C6" s="26"/>
      <c r="D6" s="30"/>
      <c r="E6" s="30"/>
      <c r="F6" s="28"/>
      <c r="H6" s="29"/>
      <c r="I6" s="27"/>
      <c r="J6" s="73"/>
      <c r="K6" s="74"/>
      <c r="L6" s="75"/>
    </row>
    <row r="7" spans="1:44" ht="15">
      <c r="A7" s="25" t="s">
        <v>39</v>
      </c>
      <c r="B7" s="26">
        <v>50</v>
      </c>
      <c r="C7" s="76"/>
      <c r="D7" s="77"/>
      <c r="E7" s="77"/>
      <c r="F7" s="78"/>
      <c r="H7" s="27">
        <v>0</v>
      </c>
      <c r="I7" s="27">
        <v>0</v>
      </c>
      <c r="J7" s="73"/>
      <c r="K7" s="74"/>
      <c r="L7" s="75"/>
    </row>
    <row r="8" spans="1:44" ht="77.25" customHeight="1">
      <c r="A8" s="57" t="s">
        <v>0</v>
      </c>
      <c r="B8" s="57" t="s">
        <v>54</v>
      </c>
      <c r="C8" s="57" t="s">
        <v>1</v>
      </c>
      <c r="D8" s="57" t="s">
        <v>61</v>
      </c>
      <c r="E8" s="58" t="s">
        <v>62</v>
      </c>
      <c r="F8" s="57" t="s">
        <v>2</v>
      </c>
      <c r="G8" s="57" t="s">
        <v>3</v>
      </c>
      <c r="H8" s="59" t="s">
        <v>51</v>
      </c>
      <c r="I8" s="59" t="s">
        <v>58</v>
      </c>
      <c r="J8" s="72" t="s">
        <v>156</v>
      </c>
      <c r="K8" s="60" t="s">
        <v>4</v>
      </c>
      <c r="L8" s="61" t="s">
        <v>18</v>
      </c>
      <c r="M8" s="62" t="s">
        <v>19</v>
      </c>
      <c r="N8" s="57" t="s">
        <v>5</v>
      </c>
      <c r="O8" s="57" t="s">
        <v>6</v>
      </c>
      <c r="P8" s="57" t="s">
        <v>7</v>
      </c>
      <c r="Q8" s="57" t="s">
        <v>60</v>
      </c>
      <c r="R8" s="58" t="s">
        <v>52</v>
      </c>
      <c r="S8" s="58" t="s">
        <v>146</v>
      </c>
      <c r="T8" s="63" t="s">
        <v>8</v>
      </c>
      <c r="U8" s="63" t="s">
        <v>53</v>
      </c>
      <c r="V8" s="64" t="s">
        <v>9</v>
      </c>
      <c r="W8" s="58" t="s">
        <v>10</v>
      </c>
      <c r="X8" s="58" t="s">
        <v>11</v>
      </c>
      <c r="Y8" s="65" t="s">
        <v>20</v>
      </c>
      <c r="Z8" s="57"/>
      <c r="AA8" s="57" t="s">
        <v>22</v>
      </c>
      <c r="AB8" s="57" t="s">
        <v>31</v>
      </c>
      <c r="AC8" s="57" t="s">
        <v>21</v>
      </c>
      <c r="AD8" s="57" t="s">
        <v>159</v>
      </c>
      <c r="AE8" s="57" t="s">
        <v>23</v>
      </c>
      <c r="AF8" s="57" t="s">
        <v>28</v>
      </c>
      <c r="AG8" s="57" t="s">
        <v>138</v>
      </c>
      <c r="AK8" s="1"/>
      <c r="AL8" s="1"/>
      <c r="AM8" s="1"/>
      <c r="AN8" s="1"/>
      <c r="AO8" s="1"/>
      <c r="AP8" s="1"/>
      <c r="AQ8" s="1"/>
      <c r="AR8" s="1"/>
    </row>
    <row r="9" spans="1:44" ht="12.75" customHeight="1">
      <c r="A9" s="66" t="s">
        <v>44</v>
      </c>
      <c r="B9" s="17">
        <v>10</v>
      </c>
      <c r="C9" s="17">
        <v>75</v>
      </c>
      <c r="D9" s="17">
        <v>30</v>
      </c>
      <c r="E9" s="32">
        <f>B9/D9*30</f>
        <v>10</v>
      </c>
      <c r="F9" s="18">
        <v>0.3</v>
      </c>
      <c r="G9" s="17">
        <v>0.8</v>
      </c>
      <c r="H9" s="17">
        <v>50</v>
      </c>
      <c r="I9" s="17">
        <v>0.1</v>
      </c>
      <c r="J9" s="17" t="s">
        <v>157</v>
      </c>
      <c r="K9" s="36">
        <f>C9/B9</f>
        <v>7.5</v>
      </c>
      <c r="L9" s="37">
        <f>G9/((C9/B9))</f>
        <v>0.10666666666666667</v>
      </c>
      <c r="M9" s="38">
        <f>F9/(C9/B9)</f>
        <v>0.04</v>
      </c>
      <c r="N9" s="19">
        <v>0</v>
      </c>
      <c r="O9" s="19">
        <v>0.2</v>
      </c>
      <c r="P9" s="19">
        <v>0.18</v>
      </c>
      <c r="Q9" s="19">
        <v>1.25</v>
      </c>
      <c r="R9" s="45">
        <f>IF((($B$7-($H9+$H$7))&lt;=0),(0+$I$7),(I9*($B$7-(H9+$H$7)))+($I$7))</f>
        <v>0</v>
      </c>
      <c r="S9" s="46">
        <f>((($B$3*F9)+($B$3*$C$3*G9))+(($B$4*N9)+($B$4*$C$4*O9))+(($B$5*P9)+($B$6*Q9)))</f>
        <v>53.570000000000007</v>
      </c>
      <c r="T9" s="47">
        <f>IF(((S9-C9)&lt;0),(B9+R9),(S9-C9+B9+R9))</f>
        <v>10</v>
      </c>
      <c r="U9" s="47">
        <f>IFERROR(T9,9999)</f>
        <v>10</v>
      </c>
      <c r="V9" s="48">
        <f>S9/C9</f>
        <v>0.71426666666666672</v>
      </c>
      <c r="W9" s="49">
        <f>IF(((C9-S9)&lt;0),0,C9-S9)</f>
        <v>21.429999999999993</v>
      </c>
      <c r="X9" s="19" t="str">
        <f>(IF((S9&lt;=C9),"NO","YES"))</f>
        <v>NO</v>
      </c>
      <c r="Y9" s="22">
        <f>RANK(U9,U:U,1)</f>
        <v>1</v>
      </c>
      <c r="Z9" s="19"/>
      <c r="AA9" s="20" t="s">
        <v>15</v>
      </c>
      <c r="AB9" s="20" t="s">
        <v>25</v>
      </c>
      <c r="AC9" s="19"/>
      <c r="AD9" s="20" t="s">
        <v>25</v>
      </c>
      <c r="AE9" s="19"/>
      <c r="AF9" s="20" t="s">
        <v>48</v>
      </c>
      <c r="AG9" s="20"/>
      <c r="AJ9" s="1"/>
      <c r="AK9" s="1"/>
      <c r="AL9" s="1"/>
      <c r="AM9" s="1"/>
      <c r="AN9" s="1"/>
      <c r="AO9" s="1"/>
      <c r="AP9" s="1"/>
      <c r="AQ9" s="1"/>
      <c r="AR9" s="1"/>
    </row>
    <row r="10" spans="1:44" ht="12.75" customHeight="1">
      <c r="A10" s="66" t="s">
        <v>46</v>
      </c>
      <c r="B10" s="17">
        <v>20</v>
      </c>
      <c r="C10" s="17">
        <v>160</v>
      </c>
      <c r="D10" s="17">
        <v>30</v>
      </c>
      <c r="E10" s="33">
        <f>B10/D10*30</f>
        <v>20</v>
      </c>
      <c r="F10" s="18">
        <v>0.3</v>
      </c>
      <c r="G10" s="17">
        <v>0.75</v>
      </c>
      <c r="H10" s="17">
        <v>100</v>
      </c>
      <c r="I10" s="17">
        <v>0.08</v>
      </c>
      <c r="J10" s="17" t="s">
        <v>157</v>
      </c>
      <c r="K10" s="39">
        <f>C10/B10</f>
        <v>8</v>
      </c>
      <c r="L10" s="35">
        <f>G10/((C10/B10))</f>
        <v>9.375E-2</v>
      </c>
      <c r="M10" s="40">
        <f>F10/(C10/B10)</f>
        <v>3.7499999999999999E-2</v>
      </c>
      <c r="N10" s="19">
        <v>0</v>
      </c>
      <c r="O10" s="19">
        <v>0.2</v>
      </c>
      <c r="P10" s="19">
        <v>0.25</v>
      </c>
      <c r="Q10" s="19">
        <v>1.25</v>
      </c>
      <c r="R10" s="50">
        <f>IF((($B$7-($H10+$H$7))&lt;=0),(0+$I$7),(I10*($B$7-(H10+$H$7)))+($I$7))</f>
        <v>0</v>
      </c>
      <c r="S10" s="31">
        <f>((($B$3*F10)+($B$3*$C$3*G10))+(($B$4*N10)+($B$4*$C$4*O10))+(($B$5*P10)+($B$6*Q10)))</f>
        <v>63.05</v>
      </c>
      <c r="T10" s="43">
        <f>IF(((S10-C10)&lt;0),(B10+R10),(S10-C10+B10+R10))</f>
        <v>20</v>
      </c>
      <c r="U10" s="43">
        <f>IFERROR(T10,9999)</f>
        <v>20</v>
      </c>
      <c r="V10" s="44">
        <f>S10/C10</f>
        <v>0.39406249999999998</v>
      </c>
      <c r="W10" s="51">
        <f>IF(((C10-S10)&lt;0),0,C10-S10)</f>
        <v>96.95</v>
      </c>
      <c r="X10" s="19" t="str">
        <f>(IF((S10&lt;=C10),"NO","YES"))</f>
        <v>NO</v>
      </c>
      <c r="Y10" s="22">
        <f>RANK(U10,U:U,1)</f>
        <v>2</v>
      </c>
      <c r="Z10" s="19"/>
      <c r="AA10" s="20" t="s">
        <v>15</v>
      </c>
      <c r="AB10" s="20" t="s">
        <v>25</v>
      </c>
      <c r="AC10" s="19"/>
      <c r="AD10" s="20" t="s">
        <v>25</v>
      </c>
      <c r="AE10" s="19"/>
      <c r="AF10" s="20" t="s">
        <v>48</v>
      </c>
      <c r="AG10" s="20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</row>
    <row r="11" spans="1:44" ht="12.75" customHeight="1">
      <c r="A11" s="89" t="s">
        <v>160</v>
      </c>
      <c r="B11" s="17">
        <v>12</v>
      </c>
      <c r="C11" s="17">
        <v>12</v>
      </c>
      <c r="D11" s="17">
        <v>30</v>
      </c>
      <c r="E11" s="33">
        <f>B11/D11*30</f>
        <v>12</v>
      </c>
      <c r="F11" s="18">
        <v>0.12</v>
      </c>
      <c r="G11" s="17">
        <v>0.12</v>
      </c>
      <c r="H11" s="17">
        <v>120</v>
      </c>
      <c r="I11" s="17">
        <v>0.55000000000000004</v>
      </c>
      <c r="J11" s="17" t="s">
        <v>139</v>
      </c>
      <c r="K11" s="39">
        <f>C11/B11</f>
        <v>1</v>
      </c>
      <c r="L11" s="35">
        <f>G11/((C11/B11))</f>
        <v>0.12</v>
      </c>
      <c r="M11" s="40">
        <f>F11/(C11/B11)</f>
        <v>0.12</v>
      </c>
      <c r="N11" s="18">
        <v>0.12</v>
      </c>
      <c r="O11" s="17">
        <v>0.12</v>
      </c>
      <c r="P11" s="19">
        <v>0.12</v>
      </c>
      <c r="Q11" s="19">
        <v>0.6</v>
      </c>
      <c r="R11" s="50">
        <f>IF((($B$7-($H11+$H$7))&lt;=0),(0+$I$7),(I11*($B$7-(H11+$H$7)))+($I$7))</f>
        <v>0</v>
      </c>
      <c r="S11" s="31">
        <f>((($B$3*F11)+($B$3*$C$3*G11))+(($B$4*N11)+($B$4*$C$4*O11))+(($B$5*P11)+($B$6*Q11)))</f>
        <v>24.648000000000003</v>
      </c>
      <c r="T11" s="43">
        <f>IF(((S11-C11)&lt;0),(B11+R11),(S11-C11+B11+R11))</f>
        <v>24.648000000000003</v>
      </c>
      <c r="U11" s="43">
        <f>IFERROR(T11,9999)</f>
        <v>24.648000000000003</v>
      </c>
      <c r="V11" s="44">
        <f>S11/C11</f>
        <v>2.0540000000000003</v>
      </c>
      <c r="W11" s="51">
        <f>IF(((C11-S11)&lt;0),0,C11-S11)</f>
        <v>0</v>
      </c>
      <c r="X11" s="19" t="str">
        <f>(IF((S11&lt;=C11),"NO","YES"))</f>
        <v>YES</v>
      </c>
      <c r="Y11" s="22">
        <f>RANK(U11,U:U,1)</f>
        <v>3</v>
      </c>
      <c r="Z11" s="19"/>
      <c r="AA11" s="19" t="s">
        <v>132</v>
      </c>
      <c r="AB11" s="19" t="s">
        <v>157</v>
      </c>
      <c r="AC11" s="19" t="s">
        <v>26</v>
      </c>
      <c r="AD11" s="19" t="s">
        <v>157</v>
      </c>
      <c r="AE11" s="19" t="s">
        <v>139</v>
      </c>
      <c r="AF11" s="19" t="s">
        <v>157</v>
      </c>
      <c r="AG11" s="19" t="s">
        <v>157</v>
      </c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</row>
    <row r="12" spans="1:44" ht="12.75" customHeight="1">
      <c r="A12" s="66" t="s">
        <v>45</v>
      </c>
      <c r="B12" s="17">
        <v>40</v>
      </c>
      <c r="C12" s="17">
        <v>330</v>
      </c>
      <c r="D12" s="17">
        <v>30</v>
      </c>
      <c r="E12" s="33">
        <f>B12/D12*30</f>
        <v>40</v>
      </c>
      <c r="F12" s="18">
        <v>0.3</v>
      </c>
      <c r="G12" s="17">
        <v>0.75</v>
      </c>
      <c r="H12" s="17">
        <v>200</v>
      </c>
      <c r="I12" s="17">
        <v>0.06</v>
      </c>
      <c r="J12" s="17" t="s">
        <v>157</v>
      </c>
      <c r="K12" s="39">
        <f>C12/B12</f>
        <v>8.25</v>
      </c>
      <c r="L12" s="35">
        <f>G12/((C12/B12))</f>
        <v>9.0909090909090912E-2</v>
      </c>
      <c r="M12" s="40">
        <f>F12/(C12/B12)</f>
        <v>3.6363636363636362E-2</v>
      </c>
      <c r="N12" s="19">
        <v>0</v>
      </c>
      <c r="O12" s="19">
        <v>0.2</v>
      </c>
      <c r="P12" s="19">
        <v>0.25</v>
      </c>
      <c r="Q12" s="19">
        <v>1.25</v>
      </c>
      <c r="R12" s="50">
        <f>IF((($B$7-($H12+$H$7))&lt;=0),(0+$I$7),(I12*($B$7-(H12+$H$7)))+($I$7))</f>
        <v>0</v>
      </c>
      <c r="S12" s="31">
        <f>((($B$3*F12)+($B$3*$C$3*G12))+(($B$4*N12)+($B$4*$C$4*O12))+(($B$5*P12)+($B$6*Q12)))</f>
        <v>63.05</v>
      </c>
      <c r="T12" s="43">
        <f>IF(((S12-C12)&lt;0),(B12+R12),(S12-C12+B12+R12))</f>
        <v>40</v>
      </c>
      <c r="U12" s="43">
        <f>IFERROR(T12,9999)</f>
        <v>40</v>
      </c>
      <c r="V12" s="44">
        <f>S12/C12</f>
        <v>0.19106060606060604</v>
      </c>
      <c r="W12" s="51">
        <f>IF(((C12-S12)&lt;0),0,C12-S12)</f>
        <v>266.95</v>
      </c>
      <c r="X12" s="19" t="str">
        <f>(IF((S12&lt;=C12),"NO","YES"))</f>
        <v>NO</v>
      </c>
      <c r="Y12" s="22">
        <f>RANK(U12,U:U,1)</f>
        <v>4</v>
      </c>
      <c r="Z12" s="19"/>
      <c r="AA12" s="20" t="s">
        <v>15</v>
      </c>
      <c r="AB12" s="20" t="s">
        <v>25</v>
      </c>
      <c r="AC12" s="19"/>
      <c r="AD12" s="20" t="s">
        <v>25</v>
      </c>
      <c r="AE12" s="19"/>
      <c r="AF12" s="20" t="s">
        <v>48</v>
      </c>
      <c r="AG12" s="20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</row>
    <row r="13" spans="1:44" ht="12.75" customHeight="1">
      <c r="A13" s="66" t="s">
        <v>91</v>
      </c>
      <c r="B13" s="17">
        <v>40</v>
      </c>
      <c r="C13" s="17">
        <v>400</v>
      </c>
      <c r="D13" s="17">
        <v>30</v>
      </c>
      <c r="E13" s="33">
        <f>B13/D13*30</f>
        <v>40</v>
      </c>
      <c r="F13" s="17">
        <v>0.35</v>
      </c>
      <c r="G13" s="17">
        <v>0.78</v>
      </c>
      <c r="H13" s="17">
        <v>150</v>
      </c>
      <c r="I13" s="17">
        <v>22</v>
      </c>
      <c r="J13" s="17" t="s">
        <v>139</v>
      </c>
      <c r="K13" s="39">
        <f>C13/B13</f>
        <v>10</v>
      </c>
      <c r="L13" s="35">
        <f>G13/((C13/B13))</f>
        <v>7.8E-2</v>
      </c>
      <c r="M13" s="40">
        <f>F13/(C13/B13)</f>
        <v>3.4999999999999996E-2</v>
      </c>
      <c r="N13" s="19">
        <v>0</v>
      </c>
      <c r="O13" s="19">
        <v>0.4</v>
      </c>
      <c r="P13" s="19">
        <v>0.25</v>
      </c>
      <c r="Q13" s="19">
        <v>0.75</v>
      </c>
      <c r="R13" s="50">
        <f>IF((($B$7-($H13+$H$7))&lt;=0),(0+$I$7),(I13*($B$7-(H13+$H$7)))+($I$7))</f>
        <v>0</v>
      </c>
      <c r="S13" s="31">
        <f>((($B$3*F13)+($B$3*$C$3*G13))+(($B$4*N13)+($B$4*$C$4*O13))+(($B$5*P13)+($B$6*Q13)))</f>
        <v>64.662000000000006</v>
      </c>
      <c r="T13" s="43">
        <f>IF(((S13-C13)&lt;0),(B13+R13),(S13-C13+B13+R13))</f>
        <v>40</v>
      </c>
      <c r="U13" s="43">
        <f>IFERROR(T13,9999)</f>
        <v>40</v>
      </c>
      <c r="V13" s="44">
        <f>S13/C13</f>
        <v>0.16165500000000002</v>
      </c>
      <c r="W13" s="51">
        <f>IF(((C13-S13)&lt;0),0,C13-S13)</f>
        <v>335.33799999999997</v>
      </c>
      <c r="X13" s="19" t="str">
        <f>(IF((S13&lt;=C13),"NO","YES"))</f>
        <v>NO</v>
      </c>
      <c r="Y13" s="22">
        <f>RANK(U13,U:U,1)</f>
        <v>4</v>
      </c>
      <c r="Z13" s="19"/>
      <c r="AA13" s="20" t="s">
        <v>14</v>
      </c>
      <c r="AB13" s="20" t="s">
        <v>25</v>
      </c>
      <c r="AC13" s="20" t="s">
        <v>30</v>
      </c>
      <c r="AD13" s="20" t="s">
        <v>25</v>
      </c>
      <c r="AE13" s="19"/>
      <c r="AF13" s="20">
        <v>40</v>
      </c>
      <c r="AG13" s="20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</row>
    <row r="14" spans="1:44" ht="12.75" customHeight="1">
      <c r="A14" s="66" t="s">
        <v>95</v>
      </c>
      <c r="B14" s="17">
        <v>30</v>
      </c>
      <c r="C14" s="17">
        <v>140</v>
      </c>
      <c r="D14" s="17">
        <v>30</v>
      </c>
      <c r="E14" s="33">
        <f>B14/D14*30</f>
        <v>30</v>
      </c>
      <c r="F14" s="17">
        <v>0.4</v>
      </c>
      <c r="G14" s="17">
        <v>0.8</v>
      </c>
      <c r="H14" s="17">
        <v>0</v>
      </c>
      <c r="I14" s="17">
        <v>0.2</v>
      </c>
      <c r="J14" s="17" t="s">
        <v>157</v>
      </c>
      <c r="K14" s="39">
        <f>C14/B14</f>
        <v>4.666666666666667</v>
      </c>
      <c r="L14" s="35">
        <f>G14/((C14/B14))</f>
        <v>0.17142857142857143</v>
      </c>
      <c r="M14" s="40">
        <f>F14/(C14/B14)</f>
        <v>8.5714285714285715E-2</v>
      </c>
      <c r="N14" s="19">
        <v>0</v>
      </c>
      <c r="O14" s="19">
        <v>0</v>
      </c>
      <c r="P14" s="19">
        <v>0.25</v>
      </c>
      <c r="Q14" s="19">
        <v>0.6</v>
      </c>
      <c r="R14" s="50">
        <f>IF((($B$7-($H14+$H$7))&lt;=0),(0+$I$7),(I14*($B$7-(H14+$H$7)))+($I$7))</f>
        <v>10</v>
      </c>
      <c r="S14" s="31">
        <f>((($B$3*F14)+($B$3*$C$3*G14))+(($B$4*N14)+($B$4*$C$4*O14))+(($B$5*P14)+($B$6*Q14)))</f>
        <v>66.42</v>
      </c>
      <c r="T14" s="43">
        <f>IF(((S14-C14)&lt;0),(B14+R14),(S14-C14+B14+R14))</f>
        <v>40</v>
      </c>
      <c r="U14" s="43">
        <f>IFERROR(T14,9999)</f>
        <v>40</v>
      </c>
      <c r="V14" s="44">
        <f>S14/C14</f>
        <v>0.47442857142857142</v>
      </c>
      <c r="W14" s="51">
        <f>IF(((C14-S14)&lt;0),0,C14-S14)</f>
        <v>73.58</v>
      </c>
      <c r="X14" s="19" t="str">
        <f>(IF((S14&lt;=C14),"NO","YES"))</f>
        <v>NO</v>
      </c>
      <c r="Y14" s="22">
        <f>RANK(U14,U:U,1)</f>
        <v>4</v>
      </c>
      <c r="Z14" s="19"/>
      <c r="AA14" s="20" t="s">
        <v>14</v>
      </c>
      <c r="AB14" s="20" t="s">
        <v>25</v>
      </c>
      <c r="AC14" s="20" t="s">
        <v>26</v>
      </c>
      <c r="AD14" s="20" t="s">
        <v>25</v>
      </c>
      <c r="AE14" s="20" t="s">
        <v>33</v>
      </c>
      <c r="AF14" s="20" t="s">
        <v>34</v>
      </c>
      <c r="AG14" s="20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</row>
    <row r="15" spans="1:44" ht="12.75" customHeight="1">
      <c r="A15" s="66" t="s">
        <v>99</v>
      </c>
      <c r="B15" s="17">
        <v>20</v>
      </c>
      <c r="C15" s="17">
        <v>50</v>
      </c>
      <c r="D15" s="17">
        <v>30</v>
      </c>
      <c r="E15" s="33">
        <f>B15/D15*30</f>
        <v>20</v>
      </c>
      <c r="F15" s="17">
        <v>0.4</v>
      </c>
      <c r="G15" s="17">
        <v>0.8</v>
      </c>
      <c r="H15" s="17">
        <v>0</v>
      </c>
      <c r="I15" s="17">
        <v>0.2</v>
      </c>
      <c r="J15" s="17" t="s">
        <v>157</v>
      </c>
      <c r="K15" s="39">
        <f>C15/B15</f>
        <v>2.5</v>
      </c>
      <c r="L15" s="35">
        <f>G15/((C15/B15))</f>
        <v>0.32</v>
      </c>
      <c r="M15" s="40">
        <f>F15/(C15/B15)</f>
        <v>0.16</v>
      </c>
      <c r="N15" s="19">
        <v>0</v>
      </c>
      <c r="O15" s="19">
        <v>0</v>
      </c>
      <c r="P15" s="19">
        <v>0.25</v>
      </c>
      <c r="Q15" s="19">
        <v>0.6</v>
      </c>
      <c r="R15" s="50">
        <f>IF((($B$7-($H15+$H$7))&lt;=0),(0+$I$7),(I15*($B$7-(H15+$H$7)))+($I$7))</f>
        <v>10</v>
      </c>
      <c r="S15" s="31">
        <f>((($B$3*F15)+($B$3*$C$3*G15))+(($B$4*N15)+($B$4*$C$4*O15))+(($B$5*P15)+($B$6*Q15)))</f>
        <v>66.42</v>
      </c>
      <c r="T15" s="43">
        <f>IF(((S15-C15)&lt;0),(B15+R15),(S15-C15+B15+R15))</f>
        <v>46.42</v>
      </c>
      <c r="U15" s="43">
        <f>IFERROR(T15,9999)</f>
        <v>46.42</v>
      </c>
      <c r="V15" s="44">
        <f>S15/C15</f>
        <v>1.3284</v>
      </c>
      <c r="W15" s="51">
        <f>IF(((C15-S15)&lt;0),0,C15-S15)</f>
        <v>0</v>
      </c>
      <c r="X15" s="19" t="str">
        <f>(IF((S15&lt;=C15),"NO","YES"))</f>
        <v>YES</v>
      </c>
      <c r="Y15" s="22">
        <f>RANK(U15,U:U,1)</f>
        <v>7</v>
      </c>
      <c r="Z15" s="19"/>
      <c r="AA15" s="20" t="s">
        <v>14</v>
      </c>
      <c r="AB15" s="20" t="s">
        <v>25</v>
      </c>
      <c r="AC15" s="20" t="s">
        <v>26</v>
      </c>
      <c r="AD15" s="20" t="s">
        <v>25</v>
      </c>
      <c r="AE15" s="20" t="s">
        <v>33</v>
      </c>
      <c r="AF15" s="20" t="s">
        <v>34</v>
      </c>
      <c r="AG15" s="20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</row>
    <row r="16" spans="1:44" ht="12.75" customHeight="1">
      <c r="A16" s="66" t="s">
        <v>149</v>
      </c>
      <c r="B16" s="17">
        <v>49.99</v>
      </c>
      <c r="C16" s="17">
        <v>1000</v>
      </c>
      <c r="D16" s="17">
        <v>30</v>
      </c>
      <c r="E16" s="33">
        <f>B16/D16*30</f>
        <v>49.99</v>
      </c>
      <c r="F16" s="18">
        <v>0.35</v>
      </c>
      <c r="G16" s="17">
        <v>0.8</v>
      </c>
      <c r="H16" s="17">
        <v>500</v>
      </c>
      <c r="I16" s="17">
        <v>5</v>
      </c>
      <c r="J16" s="17" t="s">
        <v>139</v>
      </c>
      <c r="K16" s="39">
        <f>C16/B16</f>
        <v>20.004000800160032</v>
      </c>
      <c r="L16" s="35">
        <f>G16/((C16/B16))</f>
        <v>3.9992E-2</v>
      </c>
      <c r="M16" s="40">
        <f>F16/(C16/B16)</f>
        <v>1.7496499999999998E-2</v>
      </c>
      <c r="N16" s="19">
        <v>0</v>
      </c>
      <c r="O16" s="19">
        <v>0.28999999999999998</v>
      </c>
      <c r="P16" s="19">
        <v>0.253</v>
      </c>
      <c r="Q16" s="19">
        <v>0.5</v>
      </c>
      <c r="R16" s="50">
        <f>IF((($B$7-($H16+$H$7))&lt;=0),(0+$I$7),(I16*($B$7-(H16+$H$7)))+($I$7))</f>
        <v>0</v>
      </c>
      <c r="S16" s="31">
        <f>((($B$3*F16)+($B$3*$C$3*G16))+(($B$4*N16)+($B$4*$C$4*O16))+(($B$5*P16)+($B$6*Q16)))</f>
        <v>65.27000000000001</v>
      </c>
      <c r="T16" s="43">
        <f>IF(((S16-C16)&lt;0),(B16+R16),(S16-C16+B16+R16))</f>
        <v>49.99</v>
      </c>
      <c r="U16" s="43">
        <f>IFERROR(T16,9999)</f>
        <v>49.99</v>
      </c>
      <c r="V16" s="44">
        <f>S16/C16</f>
        <v>6.5270000000000009E-2</v>
      </c>
      <c r="W16" s="51">
        <f>IF(((C16-S16)&lt;0),0,C16-S16)</f>
        <v>934.73</v>
      </c>
      <c r="X16" s="19" t="str">
        <f>(IF((S16&lt;=C16),"NO","YES"))</f>
        <v>NO</v>
      </c>
      <c r="Y16" s="22">
        <f>RANK(U16,U:U,1)</f>
        <v>8</v>
      </c>
      <c r="Z16" s="19"/>
      <c r="AA16" s="20" t="s">
        <v>14</v>
      </c>
      <c r="AB16" s="20" t="s">
        <v>25</v>
      </c>
      <c r="AC16" s="20" t="s">
        <v>26</v>
      </c>
      <c r="AD16" s="20" t="s">
        <v>25</v>
      </c>
      <c r="AE16" s="19"/>
      <c r="AF16" s="20" t="s">
        <v>36</v>
      </c>
      <c r="AG16" s="20"/>
      <c r="AJ16" s="1"/>
      <c r="AK16" s="1"/>
      <c r="AL16" s="1"/>
      <c r="AM16" s="1"/>
      <c r="AN16" s="1"/>
      <c r="AO16" s="1"/>
      <c r="AP16" s="1"/>
      <c r="AQ16" s="1"/>
      <c r="AR16" s="1"/>
    </row>
    <row r="17" spans="1:44" ht="12.75" customHeight="1">
      <c r="A17" s="66" t="s">
        <v>92</v>
      </c>
      <c r="B17" s="17">
        <v>50</v>
      </c>
      <c r="C17" s="17">
        <v>600</v>
      </c>
      <c r="D17" s="17">
        <v>30</v>
      </c>
      <c r="E17" s="33">
        <f>B17/D17*30</f>
        <v>50</v>
      </c>
      <c r="F17" s="17">
        <v>0.35</v>
      </c>
      <c r="G17" s="17">
        <v>0.78</v>
      </c>
      <c r="H17" s="17">
        <v>500</v>
      </c>
      <c r="I17" s="17">
        <v>22</v>
      </c>
      <c r="J17" s="17" t="s">
        <v>139</v>
      </c>
      <c r="K17" s="39">
        <f>C17/B17</f>
        <v>12</v>
      </c>
      <c r="L17" s="35">
        <f>G17/((C17/B17))</f>
        <v>6.5000000000000002E-2</v>
      </c>
      <c r="M17" s="40">
        <f>F17/(C17/B17)</f>
        <v>2.9166666666666664E-2</v>
      </c>
      <c r="N17" s="19">
        <v>0</v>
      </c>
      <c r="O17" s="19">
        <v>0.4</v>
      </c>
      <c r="P17" s="19">
        <v>0.25</v>
      </c>
      <c r="Q17" s="19">
        <v>0.75</v>
      </c>
      <c r="R17" s="50">
        <f>IF((($B$7-($H17+$H$7))&lt;=0),(0+$I$7),(I17*($B$7-(H17+$H$7)))+($I$7))</f>
        <v>0</v>
      </c>
      <c r="S17" s="31">
        <f>((($B$3*F17)+($B$3*$C$3*G17))+(($B$4*N17)+($B$4*$C$4*O17))+(($B$5*P17)+($B$6*Q17)))</f>
        <v>64.662000000000006</v>
      </c>
      <c r="T17" s="43">
        <f>IF(((S17-C17)&lt;0),(B17+R17),(S17-C17+B17+R17))</f>
        <v>50</v>
      </c>
      <c r="U17" s="43">
        <f>IFERROR(T17,9999)</f>
        <v>50</v>
      </c>
      <c r="V17" s="44">
        <f>S17/C17</f>
        <v>0.10777</v>
      </c>
      <c r="W17" s="51">
        <f>IF(((C17-S17)&lt;0),0,C17-S17)</f>
        <v>535.33799999999997</v>
      </c>
      <c r="X17" s="19" t="str">
        <f>(IF((S17&lt;=C17),"NO","YES"))</f>
        <v>NO</v>
      </c>
      <c r="Y17" s="22">
        <f>RANK(U17,U:U,1)</f>
        <v>9</v>
      </c>
      <c r="Z17" s="19"/>
      <c r="AA17" s="20" t="s">
        <v>14</v>
      </c>
      <c r="AB17" s="20" t="s">
        <v>25</v>
      </c>
      <c r="AC17" s="20" t="s">
        <v>30</v>
      </c>
      <c r="AD17" s="20" t="s">
        <v>25</v>
      </c>
      <c r="AE17" s="19"/>
      <c r="AF17" s="20">
        <v>50</v>
      </c>
      <c r="AG17" s="20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</row>
    <row r="18" spans="1:44" ht="12.75" customHeight="1">
      <c r="A18" s="66" t="s">
        <v>96</v>
      </c>
      <c r="B18" s="17">
        <v>45</v>
      </c>
      <c r="C18" s="17">
        <v>250</v>
      </c>
      <c r="D18" s="17">
        <v>30</v>
      </c>
      <c r="E18" s="33">
        <f>B18/D18*30</f>
        <v>45</v>
      </c>
      <c r="F18" s="17">
        <v>0.4</v>
      </c>
      <c r="G18" s="17">
        <v>0.8</v>
      </c>
      <c r="H18" s="17">
        <v>0</v>
      </c>
      <c r="I18" s="17">
        <v>0.2</v>
      </c>
      <c r="J18" s="17" t="s">
        <v>157</v>
      </c>
      <c r="K18" s="39">
        <f>C18/B18</f>
        <v>5.5555555555555554</v>
      </c>
      <c r="L18" s="35">
        <f>G18/((C18/B18))</f>
        <v>0.14400000000000002</v>
      </c>
      <c r="M18" s="40">
        <f>F18/(C18/B18)</f>
        <v>7.2000000000000008E-2</v>
      </c>
      <c r="N18" s="19">
        <v>0</v>
      </c>
      <c r="O18" s="19">
        <v>0</v>
      </c>
      <c r="P18" s="19">
        <v>0.25</v>
      </c>
      <c r="Q18" s="19">
        <v>0.6</v>
      </c>
      <c r="R18" s="50">
        <f>IF((($B$7-($H18+$H$7))&lt;=0),(0+$I$7),(I18*($B$7-(H18+$H$7)))+($I$7))</f>
        <v>10</v>
      </c>
      <c r="S18" s="31">
        <f>((($B$3*F18)+($B$3*$C$3*G18))+(($B$4*N18)+($B$4*$C$4*O18))+(($B$5*P18)+($B$6*Q18)))</f>
        <v>66.42</v>
      </c>
      <c r="T18" s="43">
        <f>IF(((S18-C18)&lt;0),(B18+R18),(S18-C18+B18+R18))</f>
        <v>55</v>
      </c>
      <c r="U18" s="43">
        <f>IFERROR(T18,9999)</f>
        <v>55</v>
      </c>
      <c r="V18" s="44">
        <f>S18/C18</f>
        <v>0.26568000000000003</v>
      </c>
      <c r="W18" s="51">
        <f>IF(((C18-S18)&lt;0),0,C18-S18)</f>
        <v>183.57999999999998</v>
      </c>
      <c r="X18" s="19" t="str">
        <f>(IF((S18&lt;=C18),"NO","YES"))</f>
        <v>NO</v>
      </c>
      <c r="Y18" s="22">
        <f>RANK(U18,U:U,1)</f>
        <v>10</v>
      </c>
      <c r="Z18" s="19"/>
      <c r="AA18" s="20" t="s">
        <v>14</v>
      </c>
      <c r="AB18" s="20" t="s">
        <v>25</v>
      </c>
      <c r="AC18" s="20" t="s">
        <v>26</v>
      </c>
      <c r="AD18" s="20" t="s">
        <v>25</v>
      </c>
      <c r="AE18" s="20" t="s">
        <v>33</v>
      </c>
      <c r="AF18" s="20" t="s">
        <v>34</v>
      </c>
      <c r="AG18" s="20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</row>
    <row r="19" spans="1:44" ht="12.75" customHeight="1">
      <c r="A19" s="66" t="s">
        <v>112</v>
      </c>
      <c r="B19" s="17">
        <v>50</v>
      </c>
      <c r="C19" s="17">
        <v>50</v>
      </c>
      <c r="D19" s="17">
        <v>30</v>
      </c>
      <c r="E19" s="33">
        <f>B19/D19*30</f>
        <v>50</v>
      </c>
      <c r="F19" s="17">
        <v>0.25</v>
      </c>
      <c r="G19" s="17">
        <f>0.3*2</f>
        <v>0.6</v>
      </c>
      <c r="H19" s="17">
        <v>100</v>
      </c>
      <c r="I19" s="17">
        <v>4</v>
      </c>
      <c r="J19" s="17" t="s">
        <v>139</v>
      </c>
      <c r="K19" s="39">
        <f>C19/B19</f>
        <v>1</v>
      </c>
      <c r="L19" s="35">
        <f>G19/((C19/B19))</f>
        <v>0.6</v>
      </c>
      <c r="M19" s="40">
        <f>F19/(C19/B19)</f>
        <v>0.25</v>
      </c>
      <c r="N19" s="19">
        <v>0.25</v>
      </c>
      <c r="O19" s="19">
        <f>G19</f>
        <v>0.6</v>
      </c>
      <c r="P19" s="19">
        <v>0.25</v>
      </c>
      <c r="Q19" s="19">
        <v>0.5</v>
      </c>
      <c r="R19" s="50">
        <f>IF((($B$7-($H19+$H$7))&lt;=0),(0+$I$7),(I19*($B$7-(H19+$H$7)))+($I$7))</f>
        <v>0</v>
      </c>
      <c r="S19" s="31">
        <f>((($B$3*F19)+($B$3*$C$3*G19))+(($B$4*N19)+($B$4*$C$4*O19))+(($B$5*P19)+($B$6*Q19)))</f>
        <v>57.74</v>
      </c>
      <c r="T19" s="43">
        <f>IF(((S19-C19)&lt;0),(B19+R19),(S19-C19+B19+R19))</f>
        <v>57.74</v>
      </c>
      <c r="U19" s="43">
        <f>IFERROR(T19,9999)</f>
        <v>57.74</v>
      </c>
      <c r="V19" s="44">
        <f>S19/C19</f>
        <v>1.1548</v>
      </c>
      <c r="W19" s="51">
        <f>IF(((C19-S19)&lt;0),0,C19-S19)</f>
        <v>0</v>
      </c>
      <c r="X19" s="19" t="str">
        <f>(IF((S19&lt;=C19),"NO","YES"))</f>
        <v>YES</v>
      </c>
      <c r="Y19" s="22">
        <f>RANK(U19,U:U,1)</f>
        <v>11</v>
      </c>
      <c r="Z19" s="19"/>
      <c r="AA19" s="20" t="s">
        <v>15</v>
      </c>
      <c r="AB19" s="19"/>
      <c r="AC19" s="20" t="s">
        <v>26</v>
      </c>
      <c r="AD19" s="20" t="s">
        <v>25</v>
      </c>
      <c r="AE19" s="19"/>
      <c r="AF19" s="19"/>
      <c r="AG19" s="19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</row>
    <row r="20" spans="1:44" ht="12.75" customHeight="1">
      <c r="A20" s="66" t="s">
        <v>111</v>
      </c>
      <c r="B20" s="17">
        <v>30</v>
      </c>
      <c r="C20" s="17">
        <v>30</v>
      </c>
      <c r="D20" s="17">
        <v>30</v>
      </c>
      <c r="E20" s="33">
        <f>B20/D20*30</f>
        <v>30</v>
      </c>
      <c r="F20" s="17">
        <v>0.25</v>
      </c>
      <c r="G20" s="17">
        <f>0.4*2</f>
        <v>0.8</v>
      </c>
      <c r="H20" s="17">
        <v>100</v>
      </c>
      <c r="I20" s="17">
        <v>4</v>
      </c>
      <c r="J20" s="17" t="s">
        <v>139</v>
      </c>
      <c r="K20" s="39">
        <f>C20/B20</f>
        <v>1</v>
      </c>
      <c r="L20" s="35">
        <f>G20/((C20/B20))</f>
        <v>0.8</v>
      </c>
      <c r="M20" s="40">
        <f>F20/(C20/B20)</f>
        <v>0.25</v>
      </c>
      <c r="N20" s="19">
        <v>0.25</v>
      </c>
      <c r="O20" s="19">
        <f>G20</f>
        <v>0.8</v>
      </c>
      <c r="P20" s="19">
        <v>0.25</v>
      </c>
      <c r="Q20" s="19">
        <v>0.5</v>
      </c>
      <c r="R20" s="50">
        <f>IF((($B$7-($H20+$H$7))&lt;=0),(0+$I$7),(I20*($B$7-(H20+$H$7)))+($I$7))</f>
        <v>0</v>
      </c>
      <c r="S20" s="31">
        <f>((($B$3*F20)+($B$3*$C$3*G20))+(($B$4*N20)+($B$4*$C$4*O20))+(($B$5*P20)+($B$6*Q20)))</f>
        <v>61.820000000000007</v>
      </c>
      <c r="T20" s="43">
        <f>IF(((S20-C20)&lt;0),(B20+R20),(S20-C20+B20+R20))</f>
        <v>61.820000000000007</v>
      </c>
      <c r="U20" s="43">
        <f>IFERROR(T20,9999)</f>
        <v>61.820000000000007</v>
      </c>
      <c r="V20" s="44">
        <f>S20/C20</f>
        <v>2.0606666666666671</v>
      </c>
      <c r="W20" s="51">
        <f>IF(((C20-S20)&lt;0),0,C20-S20)</f>
        <v>0</v>
      </c>
      <c r="X20" s="19" t="str">
        <f>(IF((S20&lt;=C20),"NO","YES"))</f>
        <v>YES</v>
      </c>
      <c r="Y20" s="22">
        <f>RANK(U20,U:U,1)</f>
        <v>12</v>
      </c>
      <c r="Z20" s="19"/>
      <c r="AA20" s="20" t="s">
        <v>15</v>
      </c>
      <c r="AB20" s="19"/>
      <c r="AC20" s="20" t="s">
        <v>26</v>
      </c>
      <c r="AD20" s="20" t="s">
        <v>25</v>
      </c>
      <c r="AE20" s="19"/>
      <c r="AF20" s="19"/>
      <c r="AG20" s="19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</row>
    <row r="21" spans="1:44" ht="12.75" customHeight="1">
      <c r="A21" s="89" t="s">
        <v>162</v>
      </c>
      <c r="B21" s="17">
        <v>36</v>
      </c>
      <c r="C21" s="17">
        <v>200</v>
      </c>
      <c r="D21" s="17">
        <v>30</v>
      </c>
      <c r="E21" s="33">
        <f>B21/D21*30</f>
        <v>36</v>
      </c>
      <c r="F21" s="18">
        <v>0.35</v>
      </c>
      <c r="G21" s="17">
        <v>0.4</v>
      </c>
      <c r="H21" s="17">
        <v>0</v>
      </c>
      <c r="I21" s="17">
        <v>0.55000000000000004</v>
      </c>
      <c r="J21" s="17" t="s">
        <v>139</v>
      </c>
      <c r="K21" s="39">
        <f>C21/B21</f>
        <v>5.5555555555555554</v>
      </c>
      <c r="L21" s="35">
        <f>G21/((C21/B21))</f>
        <v>7.2000000000000008E-2</v>
      </c>
      <c r="M21" s="40">
        <f>F21/(C21/B21)</f>
        <v>6.3E-2</v>
      </c>
      <c r="N21" s="18">
        <v>0.35</v>
      </c>
      <c r="O21" s="17">
        <v>0.4</v>
      </c>
      <c r="P21" s="19">
        <v>0.25</v>
      </c>
      <c r="Q21" s="19">
        <v>0.8</v>
      </c>
      <c r="R21" s="50">
        <f>IF((($B$7-($H21+$H$7))&lt;=0),(0+$I$7),(I21*($B$7-(H21+$H$7)))+($I$7))</f>
        <v>27.500000000000004</v>
      </c>
      <c r="S21" s="31">
        <f>((($B$3*F21)+($B$3*$C$3*G21))+(($B$4*N21)+($B$4*$C$4*O21))+(($B$5*P21)+($B$6*Q21)))</f>
        <v>56.96</v>
      </c>
      <c r="T21" s="43">
        <f>IF(((S21-C21)&lt;0),(B21+R21),(S21-C21+B21+R21))</f>
        <v>63.5</v>
      </c>
      <c r="U21" s="43">
        <f>IFERROR(T21,9999)</f>
        <v>63.5</v>
      </c>
      <c r="V21" s="44">
        <f>S21/C21</f>
        <v>0.2848</v>
      </c>
      <c r="W21" s="51">
        <f>IF(((C21-S21)&lt;0),0,C21-S21)</f>
        <v>143.04</v>
      </c>
      <c r="X21" s="19" t="str">
        <f>(IF((S21&lt;=C21),"NO","YES"))</f>
        <v>NO</v>
      </c>
      <c r="Y21" s="22">
        <f>RANK(U21,U:U,1)</f>
        <v>13</v>
      </c>
      <c r="Z21" s="19"/>
      <c r="AA21" s="19" t="s">
        <v>132</v>
      </c>
      <c r="AB21" s="19" t="s">
        <v>157</v>
      </c>
      <c r="AC21" s="19" t="s">
        <v>26</v>
      </c>
      <c r="AD21" s="19" t="s">
        <v>157</v>
      </c>
      <c r="AE21" s="19" t="s">
        <v>139</v>
      </c>
      <c r="AF21" s="19" t="s">
        <v>157</v>
      </c>
      <c r="AG21" s="19" t="s">
        <v>157</v>
      </c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</row>
    <row r="22" spans="1:44" ht="12.75" customHeight="1">
      <c r="A22" s="66" t="s">
        <v>110</v>
      </c>
      <c r="B22" s="17">
        <v>20</v>
      </c>
      <c r="C22" s="17">
        <v>20</v>
      </c>
      <c r="D22" s="17">
        <v>30</v>
      </c>
      <c r="E22" s="33">
        <f>B22/D22*30</f>
        <v>20</v>
      </c>
      <c r="F22" s="17">
        <v>0.25</v>
      </c>
      <c r="G22" s="17">
        <f>0.48*2</f>
        <v>0.96</v>
      </c>
      <c r="H22" s="17">
        <v>100</v>
      </c>
      <c r="I22" s="17">
        <v>4</v>
      </c>
      <c r="J22" s="17" t="s">
        <v>139</v>
      </c>
      <c r="K22" s="39">
        <f>C22/B22</f>
        <v>1</v>
      </c>
      <c r="L22" s="35">
        <f>G22/((C22/B22))</f>
        <v>0.96</v>
      </c>
      <c r="M22" s="40">
        <f>F22/(C22/B22)</f>
        <v>0.25</v>
      </c>
      <c r="N22" s="19">
        <v>0.25</v>
      </c>
      <c r="O22" s="19">
        <f>G22</f>
        <v>0.96</v>
      </c>
      <c r="P22" s="19">
        <v>0.25</v>
      </c>
      <c r="Q22" s="19">
        <v>0.5</v>
      </c>
      <c r="R22" s="50">
        <f>IF((($B$7-($H22+$H$7))&lt;=0),(0+$I$7),(I22*($B$7-(H22+$H$7)))+($I$7))</f>
        <v>0</v>
      </c>
      <c r="S22" s="31">
        <f>((($B$3*F22)+($B$3*$C$3*G22))+(($B$4*N22)+($B$4*$C$4*O22))+(($B$5*P22)+($B$6*Q22)))</f>
        <v>65.084000000000003</v>
      </c>
      <c r="T22" s="43">
        <f>IF(((S22-C22)&lt;0),(B22+R22),(S22-C22+B22+R22))</f>
        <v>65.084000000000003</v>
      </c>
      <c r="U22" s="43">
        <f>IFERROR(T22,9999)</f>
        <v>65.084000000000003</v>
      </c>
      <c r="V22" s="44">
        <f>S22/C22</f>
        <v>3.2542</v>
      </c>
      <c r="W22" s="51">
        <f>IF(((C22-S22)&lt;0),0,C22-S22)</f>
        <v>0</v>
      </c>
      <c r="X22" s="19" t="str">
        <f>(IF((S22&lt;=C22),"NO","YES"))</f>
        <v>YES</v>
      </c>
      <c r="Y22" s="22">
        <f>RANK(U22,U:U,1)</f>
        <v>14</v>
      </c>
      <c r="Z22" s="19"/>
      <c r="AA22" s="20" t="s">
        <v>15</v>
      </c>
      <c r="AB22" s="19"/>
      <c r="AC22" s="20" t="s">
        <v>26</v>
      </c>
      <c r="AD22" s="20" t="s">
        <v>25</v>
      </c>
      <c r="AE22" s="19"/>
      <c r="AF22" s="19"/>
      <c r="AG22" s="19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</row>
    <row r="23" spans="1:44" ht="12.75" customHeight="1">
      <c r="A23" s="66" t="s">
        <v>47</v>
      </c>
      <c r="B23" s="17">
        <v>70</v>
      </c>
      <c r="C23" s="17">
        <v>600</v>
      </c>
      <c r="D23" s="17">
        <v>30</v>
      </c>
      <c r="E23" s="33">
        <f>B23/D23*30</f>
        <v>70</v>
      </c>
      <c r="F23" s="18">
        <v>0.3</v>
      </c>
      <c r="G23" s="17">
        <v>0.7</v>
      </c>
      <c r="H23" s="17">
        <v>300</v>
      </c>
      <c r="I23" s="17">
        <v>0.05</v>
      </c>
      <c r="J23" s="17" t="s">
        <v>157</v>
      </c>
      <c r="K23" s="39">
        <f>C23/B23</f>
        <v>8.5714285714285712</v>
      </c>
      <c r="L23" s="35">
        <f>G23/((C23/B23))</f>
        <v>8.1666666666666665E-2</v>
      </c>
      <c r="M23" s="40">
        <f>F23/(C23/B23)</f>
        <v>3.4999999999999996E-2</v>
      </c>
      <c r="N23" s="19">
        <v>0</v>
      </c>
      <c r="O23" s="19">
        <v>0.2</v>
      </c>
      <c r="P23" s="19">
        <v>0.25</v>
      </c>
      <c r="Q23" s="19">
        <v>1.25</v>
      </c>
      <c r="R23" s="50">
        <f>IF((($B$7-($H23+$H$7))&lt;=0),(0+$I$7),(I23*($B$7-(H23+$H$7)))+($I$7))</f>
        <v>0</v>
      </c>
      <c r="S23" s="31">
        <f>((($B$3*F23)+($B$3*$C$3*G23))+(($B$4*N23)+($B$4*$C$4*O23))+(($B$5*P23)+($B$6*Q23)))</f>
        <v>62.03</v>
      </c>
      <c r="T23" s="43">
        <f>IF(((S23-C23)&lt;0),(B23+R23),(S23-C23+B23+R23))</f>
        <v>70</v>
      </c>
      <c r="U23" s="43">
        <f>IFERROR(T23,9999)</f>
        <v>70</v>
      </c>
      <c r="V23" s="44">
        <f>S23/C23</f>
        <v>0.10338333333333334</v>
      </c>
      <c r="W23" s="51">
        <f>IF(((C23-S23)&lt;0),0,C23-S23)</f>
        <v>537.97</v>
      </c>
      <c r="X23" s="19" t="str">
        <f>(IF((S23&lt;=C23),"NO","YES"))</f>
        <v>NO</v>
      </c>
      <c r="Y23" s="22">
        <f>RANK(U23,U:U,1)</f>
        <v>15</v>
      </c>
      <c r="Z23" s="19"/>
      <c r="AA23" s="20" t="s">
        <v>15</v>
      </c>
      <c r="AB23" s="20"/>
      <c r="AC23" s="19"/>
      <c r="AD23" s="20"/>
      <c r="AE23" s="19"/>
      <c r="AF23" s="20" t="s">
        <v>48</v>
      </c>
      <c r="AG23" s="20"/>
      <c r="AJ23" s="1"/>
      <c r="AK23" s="1"/>
      <c r="AL23" s="1"/>
      <c r="AM23" s="1"/>
      <c r="AN23" s="1"/>
      <c r="AO23" s="1"/>
      <c r="AP23" s="1"/>
      <c r="AQ23" s="1"/>
      <c r="AR23" s="1"/>
    </row>
    <row r="24" spans="1:44" ht="12.75" customHeight="1">
      <c r="A24" s="66" t="s">
        <v>93</v>
      </c>
      <c r="B24" s="17">
        <v>70</v>
      </c>
      <c r="C24" s="17">
        <v>1000</v>
      </c>
      <c r="D24" s="17">
        <v>30</v>
      </c>
      <c r="E24" s="33">
        <f>B24/D24*30</f>
        <v>70</v>
      </c>
      <c r="F24" s="17">
        <v>0.35</v>
      </c>
      <c r="G24" s="17">
        <v>0.78</v>
      </c>
      <c r="H24" s="17">
        <v>700</v>
      </c>
      <c r="I24" s="17">
        <v>22</v>
      </c>
      <c r="J24" s="17" t="s">
        <v>139</v>
      </c>
      <c r="K24" s="39">
        <f>C24/B24</f>
        <v>14.285714285714286</v>
      </c>
      <c r="L24" s="35">
        <f>G24/((C24/B24))</f>
        <v>5.4599999999999996E-2</v>
      </c>
      <c r="M24" s="40">
        <f>F24/(C24/B24)</f>
        <v>2.4499999999999997E-2</v>
      </c>
      <c r="N24" s="19">
        <v>0</v>
      </c>
      <c r="O24" s="19">
        <v>0.4</v>
      </c>
      <c r="P24" s="19">
        <v>0.25</v>
      </c>
      <c r="Q24" s="19">
        <v>0.75</v>
      </c>
      <c r="R24" s="50">
        <f>IF((($B$7-($H24+$H$7))&lt;=0),(0+$I$7),(I24*($B$7-(H24+$H$7)))+($I$7))</f>
        <v>0</v>
      </c>
      <c r="S24" s="31">
        <f>((($B$3*F24)+($B$3*$C$3*G24))+(($B$4*N24)+($B$4*$C$4*O24))+(($B$5*P24)+($B$6*Q24)))</f>
        <v>64.662000000000006</v>
      </c>
      <c r="T24" s="43">
        <f>IF(((S24-C24)&lt;0),(B24+R24),(S24-C24+B24+R24))</f>
        <v>70</v>
      </c>
      <c r="U24" s="43">
        <f>IFERROR(T24,9999)</f>
        <v>70</v>
      </c>
      <c r="V24" s="44">
        <f>S24/C24</f>
        <v>6.4662000000000011E-2</v>
      </c>
      <c r="W24" s="51">
        <f>IF(((C24-S24)&lt;0),0,C24-S24)</f>
        <v>935.33799999999997</v>
      </c>
      <c r="X24" s="19" t="str">
        <f>(IF((S24&lt;=C24),"NO","YES"))</f>
        <v>NO</v>
      </c>
      <c r="Y24" s="22">
        <f>RANK(U24,U:U,1)</f>
        <v>15</v>
      </c>
      <c r="Z24" s="19"/>
      <c r="AA24" s="20" t="s">
        <v>14</v>
      </c>
      <c r="AB24" s="20" t="s">
        <v>25</v>
      </c>
      <c r="AC24" s="20" t="s">
        <v>30</v>
      </c>
      <c r="AD24" s="20" t="s">
        <v>25</v>
      </c>
      <c r="AE24" s="19"/>
      <c r="AF24" s="20">
        <v>70</v>
      </c>
      <c r="AG24" s="20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1:44" ht="12.75" customHeight="1">
      <c r="A25" s="66" t="s">
        <v>145</v>
      </c>
      <c r="B25" s="17">
        <v>75</v>
      </c>
      <c r="C25" s="17">
        <v>550</v>
      </c>
      <c r="D25" s="17">
        <v>30</v>
      </c>
      <c r="E25" s="33">
        <f>B25/D25*30</f>
        <v>75</v>
      </c>
      <c r="F25" s="17">
        <v>0.28999999999999998</v>
      </c>
      <c r="G25" s="17">
        <v>0.84</v>
      </c>
      <c r="H25" s="17">
        <v>75</v>
      </c>
      <c r="I25" s="17" t="s">
        <v>125</v>
      </c>
      <c r="J25" s="17" t="s">
        <v>139</v>
      </c>
      <c r="K25" s="39">
        <f>C25/B25</f>
        <v>7.333333333333333</v>
      </c>
      <c r="L25" s="35">
        <f>G25/((C25/B25))</f>
        <v>0.11454545454545455</v>
      </c>
      <c r="M25" s="40">
        <f>F25/(C25/B25)</f>
        <v>3.9545454545454543E-2</v>
      </c>
      <c r="N25" s="19">
        <v>0</v>
      </c>
      <c r="O25" s="19">
        <f>G25</f>
        <v>0.84</v>
      </c>
      <c r="P25" s="19">
        <v>0.25</v>
      </c>
      <c r="Q25" s="19">
        <v>0.5</v>
      </c>
      <c r="R25" s="50">
        <f>IF((($B$7-($H25+$H$7))&lt;=0),(0+$I$7),(I25*($B$7-(H25+$H$7)))+($I$7))</f>
        <v>0</v>
      </c>
      <c r="S25" s="31">
        <f>((($B$3*F25)+($B$3*$C$3*G25))+(($B$4*N25)+($B$4*$C$4*O25))+(($B$5*P25)+($B$6*Q25)))</f>
        <v>63.835999999999999</v>
      </c>
      <c r="T25" s="43">
        <f>IF(((S25-C25)&lt;0),(B25+R25),(S25-C25+B25+R25))</f>
        <v>75</v>
      </c>
      <c r="U25" s="43">
        <f>IFERROR(T25,9999)</f>
        <v>75</v>
      </c>
      <c r="V25" s="44">
        <f>S25/C25</f>
        <v>0.11606545454545454</v>
      </c>
      <c r="W25" s="51">
        <f>IF(((C25-S25)&lt;0),0,C25-S25)</f>
        <v>486.16399999999999</v>
      </c>
      <c r="X25" s="19" t="str">
        <f>(IF((S25&lt;=C25),"NO","YES"))</f>
        <v>NO</v>
      </c>
      <c r="Y25" s="22">
        <f>RANK(U25,U:U,1)</f>
        <v>17</v>
      </c>
      <c r="Z25" s="19"/>
      <c r="AA25" s="20" t="s">
        <v>14</v>
      </c>
      <c r="AB25" s="20" t="s">
        <v>27</v>
      </c>
      <c r="AC25" s="20" t="s">
        <v>30</v>
      </c>
      <c r="AD25" s="20" t="s">
        <v>25</v>
      </c>
      <c r="AE25" s="20" t="s">
        <v>27</v>
      </c>
      <c r="AF25" s="20" t="s">
        <v>35</v>
      </c>
      <c r="AG25" s="20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</row>
    <row r="26" spans="1:44" ht="12.75" customHeight="1">
      <c r="A26" s="66" t="s">
        <v>97</v>
      </c>
      <c r="B26" s="17">
        <v>65</v>
      </c>
      <c r="C26" s="17">
        <v>500</v>
      </c>
      <c r="D26" s="17">
        <v>30</v>
      </c>
      <c r="E26" s="33">
        <f>B26/D26*30</f>
        <v>65</v>
      </c>
      <c r="F26" s="17">
        <v>0.4</v>
      </c>
      <c r="G26" s="17">
        <v>0.8</v>
      </c>
      <c r="H26" s="17">
        <v>0</v>
      </c>
      <c r="I26" s="17">
        <v>0.2</v>
      </c>
      <c r="J26" s="17" t="s">
        <v>157</v>
      </c>
      <c r="K26" s="39">
        <f>C26/B26</f>
        <v>7.6923076923076925</v>
      </c>
      <c r="L26" s="35">
        <f>G26/((C26/B26))</f>
        <v>0.10400000000000001</v>
      </c>
      <c r="M26" s="40">
        <f>F26/(C26/B26)</f>
        <v>5.2000000000000005E-2</v>
      </c>
      <c r="N26" s="19">
        <v>0</v>
      </c>
      <c r="O26" s="19">
        <v>0</v>
      </c>
      <c r="P26" s="19">
        <v>0.25</v>
      </c>
      <c r="Q26" s="19">
        <v>0.6</v>
      </c>
      <c r="R26" s="50">
        <f>IF((($B$7-($H26+$H$7))&lt;=0),(0+$I$7),(I26*($B$7-(H26+$H$7)))+($I$7))</f>
        <v>10</v>
      </c>
      <c r="S26" s="31">
        <f>((($B$3*F26)+($B$3*$C$3*G26))+(($B$4*N26)+($B$4*$C$4*O26))+(($B$5*P26)+($B$6*Q26)))</f>
        <v>66.42</v>
      </c>
      <c r="T26" s="43">
        <f>IF(((S26-C26)&lt;0),(B26+R26),(S26-C26+B26+R26))</f>
        <v>75</v>
      </c>
      <c r="U26" s="43">
        <f>IFERROR(T26,9999)</f>
        <v>75</v>
      </c>
      <c r="V26" s="44">
        <f>S26/C26</f>
        <v>0.13284000000000001</v>
      </c>
      <c r="W26" s="51">
        <f>IF(((C26-S26)&lt;0),0,C26-S26)</f>
        <v>433.58</v>
      </c>
      <c r="X26" s="19" t="str">
        <f>(IF((S26&lt;=C26),"NO","YES"))</f>
        <v>NO</v>
      </c>
      <c r="Y26" s="22">
        <f>RANK(U26,U:U,1)</f>
        <v>17</v>
      </c>
      <c r="Z26" s="19"/>
      <c r="AA26" s="20" t="s">
        <v>14</v>
      </c>
      <c r="AB26" s="20" t="s">
        <v>25</v>
      </c>
      <c r="AC26" s="20" t="s">
        <v>26</v>
      </c>
      <c r="AD26" s="20" t="s">
        <v>25</v>
      </c>
      <c r="AE26" s="20" t="s">
        <v>33</v>
      </c>
      <c r="AF26" s="20" t="s">
        <v>34</v>
      </c>
      <c r="AG26" s="20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</row>
    <row r="27" spans="1:44" ht="12.75" customHeight="1">
      <c r="A27" s="89" t="s">
        <v>164</v>
      </c>
      <c r="B27" s="17">
        <v>50</v>
      </c>
      <c r="C27" s="17">
        <v>500</v>
      </c>
      <c r="D27" s="17">
        <v>30</v>
      </c>
      <c r="E27" s="33">
        <f>B27/D27*30</f>
        <v>50</v>
      </c>
      <c r="F27" s="18">
        <v>0.4</v>
      </c>
      <c r="G27" s="17">
        <v>0.4</v>
      </c>
      <c r="H27" s="17">
        <v>0</v>
      </c>
      <c r="I27" s="17">
        <v>0.55000000000000004</v>
      </c>
      <c r="J27" s="17" t="s">
        <v>139</v>
      </c>
      <c r="K27" s="39">
        <f>C27/B27</f>
        <v>10</v>
      </c>
      <c r="L27" s="35">
        <f>G27/((C27/B27))</f>
        <v>0.04</v>
      </c>
      <c r="M27" s="40">
        <f>F27/(C27/B27)</f>
        <v>0.04</v>
      </c>
      <c r="N27" s="18">
        <v>0.4</v>
      </c>
      <c r="O27" s="17">
        <v>0.4</v>
      </c>
      <c r="P27" s="19">
        <v>0.28999999999999998</v>
      </c>
      <c r="Q27" s="19">
        <v>0.8</v>
      </c>
      <c r="R27" s="50">
        <f>IF((($B$7-($H27+$H$7))&lt;=0),(0+$I$7),(I27*($B$7-(H27+$H$7)))+($I$7))</f>
        <v>27.500000000000004</v>
      </c>
      <c r="S27" s="31">
        <f>((($B$3*F27)+($B$3*$C$3*G27))+(($B$4*N27)+($B$4*$C$4*O27))+(($B$5*P27)+($B$6*Q27)))</f>
        <v>64.460000000000008</v>
      </c>
      <c r="T27" s="43">
        <f>IF(((S27-C27)&lt;0),(B27+R27),(S27-C27+B27+R27))</f>
        <v>77.5</v>
      </c>
      <c r="U27" s="43">
        <f>IFERROR(T27,9999)</f>
        <v>77.5</v>
      </c>
      <c r="V27" s="44">
        <f>S27/C27</f>
        <v>0.12892000000000001</v>
      </c>
      <c r="W27" s="51">
        <f>IF(((C27-S27)&lt;0),0,C27-S27)</f>
        <v>435.53999999999996</v>
      </c>
      <c r="X27" s="19" t="str">
        <f>(IF((S27&lt;=C27),"NO","YES"))</f>
        <v>NO</v>
      </c>
      <c r="Y27" s="22">
        <f>RANK(U27,U:U,1)</f>
        <v>19</v>
      </c>
      <c r="Z27" s="19"/>
      <c r="AA27" s="19" t="s">
        <v>132</v>
      </c>
      <c r="AB27" s="19" t="s">
        <v>157</v>
      </c>
      <c r="AC27" s="19" t="s">
        <v>26</v>
      </c>
      <c r="AD27" s="19" t="s">
        <v>157</v>
      </c>
      <c r="AE27" s="19" t="s">
        <v>139</v>
      </c>
      <c r="AF27" s="19" t="s">
        <v>157</v>
      </c>
      <c r="AG27" s="19" t="s">
        <v>157</v>
      </c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</row>
    <row r="28" spans="1:44" ht="12.75" customHeight="1">
      <c r="A28" s="66" t="s">
        <v>150</v>
      </c>
      <c r="B28" s="17">
        <v>79.989999999999995</v>
      </c>
      <c r="C28" s="17">
        <v>2000</v>
      </c>
      <c r="D28" s="17">
        <v>30</v>
      </c>
      <c r="E28" s="33">
        <f>B28/D28*30</f>
        <v>79.989999999999995</v>
      </c>
      <c r="F28" s="18">
        <v>0.35</v>
      </c>
      <c r="G28" s="17">
        <v>0.8</v>
      </c>
      <c r="H28" s="17">
        <v>2000</v>
      </c>
      <c r="I28" s="17">
        <v>5</v>
      </c>
      <c r="J28" s="17" t="s">
        <v>139</v>
      </c>
      <c r="K28" s="39">
        <f>C28/B28</f>
        <v>25.003125390673837</v>
      </c>
      <c r="L28" s="35">
        <f>G28/((C28/B28))</f>
        <v>3.1995999999999997E-2</v>
      </c>
      <c r="M28" s="40">
        <f>F28/(C28/B28)</f>
        <v>1.3998249999999997E-2</v>
      </c>
      <c r="N28" s="19">
        <v>0</v>
      </c>
      <c r="O28" s="19">
        <v>0.28999999999999998</v>
      </c>
      <c r="P28" s="19">
        <v>0.253</v>
      </c>
      <c r="Q28" s="19">
        <v>0.5</v>
      </c>
      <c r="R28" s="50">
        <f>IF((($B$7-($H28+$H$7))&lt;=0),(0+$I$7),(I28*($B$7-(H28+$H$7)))+($I$7))</f>
        <v>0</v>
      </c>
      <c r="S28" s="31">
        <f>((($B$3*F28)+($B$3*$C$3*G28))+(($B$4*N28)+($B$4*$C$4*O28))+(($B$5*P28)+($B$6*Q28)))</f>
        <v>65.27000000000001</v>
      </c>
      <c r="T28" s="43">
        <f>IF(((S28-C28)&lt;0),(B28+R28),(S28-C28+B28+R28))</f>
        <v>79.989999999999995</v>
      </c>
      <c r="U28" s="43">
        <f>IFERROR(T28,9999)</f>
        <v>79.989999999999995</v>
      </c>
      <c r="V28" s="44">
        <f>S28/C28</f>
        <v>3.2635000000000004E-2</v>
      </c>
      <c r="W28" s="51">
        <f>IF(((C28-S28)&lt;0),0,C28-S28)</f>
        <v>1934.73</v>
      </c>
      <c r="X28" s="19" t="str">
        <f>(IF((S28&lt;=C28),"NO","YES"))</f>
        <v>NO</v>
      </c>
      <c r="Y28" s="22">
        <f>RANK(U28,U:U,1)</f>
        <v>20</v>
      </c>
      <c r="Z28" s="19"/>
      <c r="AA28" s="20" t="s">
        <v>14</v>
      </c>
      <c r="AB28" s="20" t="s">
        <v>25</v>
      </c>
      <c r="AC28" s="20" t="s">
        <v>26</v>
      </c>
      <c r="AD28" s="20" t="s">
        <v>25</v>
      </c>
      <c r="AE28" s="19"/>
      <c r="AF28" s="20" t="s">
        <v>36</v>
      </c>
      <c r="AG28" s="20"/>
      <c r="AJ28" s="1"/>
      <c r="AK28" s="1"/>
      <c r="AL28" s="1"/>
      <c r="AM28" s="1"/>
      <c r="AN28" s="1"/>
      <c r="AO28" s="1"/>
      <c r="AP28" s="1"/>
      <c r="AQ28" s="1"/>
      <c r="AR28" s="1"/>
    </row>
    <row r="29" spans="1:44" ht="12.75" customHeight="1">
      <c r="A29" s="66" t="s">
        <v>113</v>
      </c>
      <c r="B29" s="17">
        <v>80</v>
      </c>
      <c r="C29" s="17">
        <v>80</v>
      </c>
      <c r="D29" s="17">
        <v>30</v>
      </c>
      <c r="E29" s="33">
        <f>B29/D29*30</f>
        <v>80</v>
      </c>
      <c r="F29" s="17">
        <v>0.25</v>
      </c>
      <c r="G29" s="17">
        <f>0.22*2</f>
        <v>0.44</v>
      </c>
      <c r="H29" s="17">
        <v>100</v>
      </c>
      <c r="I29" s="17">
        <v>4</v>
      </c>
      <c r="J29" s="17" t="s">
        <v>139</v>
      </c>
      <c r="K29" s="39">
        <f>C29/B29</f>
        <v>1</v>
      </c>
      <c r="L29" s="35">
        <f>G29/((C29/B29))</f>
        <v>0.44</v>
      </c>
      <c r="M29" s="40">
        <f>F29/(C29/B29)</f>
        <v>0.25</v>
      </c>
      <c r="N29" s="19">
        <v>0.25</v>
      </c>
      <c r="O29" s="19">
        <f>G29</f>
        <v>0.44</v>
      </c>
      <c r="P29" s="19">
        <v>0.25</v>
      </c>
      <c r="Q29" s="19">
        <v>0.5</v>
      </c>
      <c r="R29" s="50">
        <f>IF((($B$7-($H29+$H$7))&lt;=0),(0+$I$7),(I29*($B$7-(H29+$H$7)))+($I$7))</f>
        <v>0</v>
      </c>
      <c r="S29" s="31">
        <f>((($B$3*F29)+($B$3*$C$3*G29))+(($B$4*N29)+($B$4*$C$4*O29))+(($B$5*P29)+($B$6*Q29)))</f>
        <v>54.475999999999999</v>
      </c>
      <c r="T29" s="43">
        <f>IF(((S29-C29)&lt;0),(B29+R29),(S29-C29+B29+R29))</f>
        <v>80</v>
      </c>
      <c r="U29" s="43">
        <f>IFERROR(T29,9999)</f>
        <v>80</v>
      </c>
      <c r="V29" s="44">
        <f>S29/C29</f>
        <v>0.68094999999999994</v>
      </c>
      <c r="W29" s="51">
        <f>IF(((C29-S29)&lt;0),0,C29-S29)</f>
        <v>25.524000000000001</v>
      </c>
      <c r="X29" s="19" t="str">
        <f>(IF((S29&lt;=C29),"NO","YES"))</f>
        <v>NO</v>
      </c>
      <c r="Y29" s="22">
        <f>RANK(U29,U:U,1)</f>
        <v>21</v>
      </c>
      <c r="Z29" s="19"/>
      <c r="AA29" s="20" t="s">
        <v>15</v>
      </c>
      <c r="AB29" s="19"/>
      <c r="AC29" s="20" t="s">
        <v>26</v>
      </c>
      <c r="AD29" s="20" t="s">
        <v>25</v>
      </c>
      <c r="AE29" s="19"/>
      <c r="AF29" s="19"/>
      <c r="AG29" s="19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</row>
    <row r="30" spans="1:44" ht="12.75" customHeight="1">
      <c r="A30" s="66" t="s">
        <v>94</v>
      </c>
      <c r="B30" s="17">
        <v>100</v>
      </c>
      <c r="C30" s="17">
        <v>1500</v>
      </c>
      <c r="D30" s="17">
        <v>30</v>
      </c>
      <c r="E30" s="33">
        <f>B30/D30*30</f>
        <v>100</v>
      </c>
      <c r="F30" s="17">
        <v>0.35</v>
      </c>
      <c r="G30" s="17">
        <v>0.78</v>
      </c>
      <c r="H30" s="17">
        <v>1000</v>
      </c>
      <c r="I30" s="17">
        <v>22</v>
      </c>
      <c r="J30" s="17" t="s">
        <v>139</v>
      </c>
      <c r="K30" s="39">
        <f>C30/B30</f>
        <v>15</v>
      </c>
      <c r="L30" s="35">
        <f>G30/((C30/B30))</f>
        <v>5.2000000000000005E-2</v>
      </c>
      <c r="M30" s="40">
        <f>F30/(C30/B30)</f>
        <v>2.3333333333333331E-2</v>
      </c>
      <c r="N30" s="19">
        <v>0</v>
      </c>
      <c r="O30" s="19">
        <v>0.4</v>
      </c>
      <c r="P30" s="19">
        <v>0.25</v>
      </c>
      <c r="Q30" s="19">
        <v>0.75</v>
      </c>
      <c r="R30" s="50">
        <f>IF((($B$7-($H30+$H$7))&lt;=0),(0+$I$7),(I30*($B$7-(H30+$H$7)))+($I$7))</f>
        <v>0</v>
      </c>
      <c r="S30" s="31">
        <f>((($B$3*F30)+($B$3*$C$3*G30))+(($B$4*N30)+($B$4*$C$4*O30))+(($B$5*P30)+($B$6*Q30)))</f>
        <v>64.662000000000006</v>
      </c>
      <c r="T30" s="43">
        <f>IF(((S30-C30)&lt;0),(B30+R30),(S30-C30+B30+R30))</f>
        <v>100</v>
      </c>
      <c r="U30" s="43">
        <f>IFERROR(T30,9999)</f>
        <v>100</v>
      </c>
      <c r="V30" s="44">
        <f>S30/C30</f>
        <v>4.3108000000000007E-2</v>
      </c>
      <c r="W30" s="51">
        <f>IF(((C30-S30)&lt;0),0,C30-S30)</f>
        <v>1435.338</v>
      </c>
      <c r="X30" s="19" t="str">
        <f>(IF((S30&lt;=C30),"NO","YES"))</f>
        <v>NO</v>
      </c>
      <c r="Y30" s="22">
        <f>RANK(U30,U:U,1)</f>
        <v>22</v>
      </c>
      <c r="Z30" s="19"/>
      <c r="AA30" s="20" t="s">
        <v>14</v>
      </c>
      <c r="AB30" s="20" t="s">
        <v>25</v>
      </c>
      <c r="AC30" s="20" t="s">
        <v>30</v>
      </c>
      <c r="AD30" s="20" t="s">
        <v>25</v>
      </c>
      <c r="AE30" s="19"/>
      <c r="AF30" s="20">
        <v>100</v>
      </c>
      <c r="AG30" s="20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</row>
    <row r="31" spans="1:44" ht="12.75" customHeight="1">
      <c r="A31" s="66" t="s">
        <v>98</v>
      </c>
      <c r="B31" s="17">
        <v>90</v>
      </c>
      <c r="C31" s="17">
        <v>750</v>
      </c>
      <c r="D31" s="17">
        <v>30</v>
      </c>
      <c r="E31" s="33">
        <f>B31/D31*30</f>
        <v>90</v>
      </c>
      <c r="F31" s="17">
        <v>0.4</v>
      </c>
      <c r="G31" s="17">
        <v>0.8</v>
      </c>
      <c r="H31" s="17">
        <v>0</v>
      </c>
      <c r="I31" s="17">
        <v>0.2</v>
      </c>
      <c r="J31" s="17" t="s">
        <v>157</v>
      </c>
      <c r="K31" s="39">
        <f>C31/B31</f>
        <v>8.3333333333333339</v>
      </c>
      <c r="L31" s="35">
        <f>G31/((C31/B31))</f>
        <v>9.6000000000000002E-2</v>
      </c>
      <c r="M31" s="40">
        <f>F31/(C31/B31)</f>
        <v>4.8000000000000001E-2</v>
      </c>
      <c r="N31" s="19">
        <v>0</v>
      </c>
      <c r="O31" s="19">
        <v>0</v>
      </c>
      <c r="P31" s="19">
        <v>0.25</v>
      </c>
      <c r="Q31" s="19">
        <v>0.6</v>
      </c>
      <c r="R31" s="50">
        <f>IF((($B$7-($H31+$H$7))&lt;=0),(0+$I$7),(I31*($B$7-(H31+$H$7)))+($I$7))</f>
        <v>10</v>
      </c>
      <c r="S31" s="31">
        <f>((($B$3*F31)+($B$3*$C$3*G31))+(($B$4*N31)+($B$4*$C$4*O31))+(($B$5*P31)+($B$6*Q31)))</f>
        <v>66.42</v>
      </c>
      <c r="T31" s="43">
        <f>IF(((S31-C31)&lt;0),(B31+R31),(S31-C31+B31+R31))</f>
        <v>100</v>
      </c>
      <c r="U31" s="43">
        <f>IFERROR(T31,9999)</f>
        <v>100</v>
      </c>
      <c r="V31" s="44">
        <f>S31/C31</f>
        <v>8.856E-2</v>
      </c>
      <c r="W31" s="51">
        <f>IF(((C31-S31)&lt;0),0,C31-S31)</f>
        <v>683.58</v>
      </c>
      <c r="X31" s="19" t="str">
        <f>(IF((S31&lt;=C31),"NO","YES"))</f>
        <v>NO</v>
      </c>
      <c r="Y31" s="22">
        <f>RANK(U31,U:U,1)</f>
        <v>22</v>
      </c>
      <c r="Z31" s="19"/>
      <c r="AA31" s="20" t="s">
        <v>14</v>
      </c>
      <c r="AB31" s="20" t="s">
        <v>25</v>
      </c>
      <c r="AC31" s="20" t="s">
        <v>26</v>
      </c>
      <c r="AD31" s="20" t="s">
        <v>25</v>
      </c>
      <c r="AE31" s="20" t="s">
        <v>33</v>
      </c>
      <c r="AF31" s="20" t="s">
        <v>34</v>
      </c>
      <c r="AG31" s="20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</row>
    <row r="32" spans="1:44" ht="12.75" customHeight="1">
      <c r="A32" s="66" t="s">
        <v>114</v>
      </c>
      <c r="B32" s="17">
        <v>100</v>
      </c>
      <c r="C32" s="17">
        <v>100</v>
      </c>
      <c r="D32" s="17">
        <v>30</v>
      </c>
      <c r="E32" s="33">
        <f>B32/D32*30</f>
        <v>100</v>
      </c>
      <c r="F32" s="17">
        <v>0.25</v>
      </c>
      <c r="G32" s="17">
        <f>0.2*2</f>
        <v>0.4</v>
      </c>
      <c r="H32" s="17">
        <v>100</v>
      </c>
      <c r="I32" s="17">
        <v>4</v>
      </c>
      <c r="J32" s="17" t="s">
        <v>139</v>
      </c>
      <c r="K32" s="39">
        <f>C32/B32</f>
        <v>1</v>
      </c>
      <c r="L32" s="35">
        <f>G32/((C32/B32))</f>
        <v>0.4</v>
      </c>
      <c r="M32" s="40">
        <f>F32/(C32/B32)</f>
        <v>0.25</v>
      </c>
      <c r="N32" s="19">
        <v>0.25</v>
      </c>
      <c r="O32" s="19">
        <f>G32</f>
        <v>0.4</v>
      </c>
      <c r="P32" s="19">
        <v>0.25</v>
      </c>
      <c r="Q32" s="19">
        <v>0.5</v>
      </c>
      <c r="R32" s="50">
        <f>IF((($B$7-($H32+$H$7))&lt;=0),(0+$I$7),(I32*($B$7-(H32+$H$7)))+($I$7))</f>
        <v>0</v>
      </c>
      <c r="S32" s="31">
        <f>((($B$3*F32)+($B$3*$C$3*G32))+(($B$4*N32)+($B$4*$C$4*O32))+(($B$5*P32)+($B$6*Q32)))</f>
        <v>53.660000000000004</v>
      </c>
      <c r="T32" s="43">
        <f>IF(((S32-C32)&lt;0),(B32+R32),(S32-C32+B32+R32))</f>
        <v>100</v>
      </c>
      <c r="U32" s="43">
        <f>IFERROR(T32,9999)</f>
        <v>100</v>
      </c>
      <c r="V32" s="44">
        <f>S32/C32</f>
        <v>0.53660000000000008</v>
      </c>
      <c r="W32" s="51">
        <f>IF(((C32-S32)&lt;0),0,C32-S32)</f>
        <v>46.339999999999996</v>
      </c>
      <c r="X32" s="19" t="str">
        <f>(IF((S32&lt;=C32),"NO","YES"))</f>
        <v>NO</v>
      </c>
      <c r="Y32" s="22">
        <f>RANK(U32,U:U,1)</f>
        <v>22</v>
      </c>
      <c r="Z32" s="19"/>
      <c r="AA32" s="20" t="s">
        <v>15</v>
      </c>
      <c r="AB32" s="19"/>
      <c r="AC32" s="20" t="s">
        <v>26</v>
      </c>
      <c r="AD32" s="20" t="s">
        <v>27</v>
      </c>
      <c r="AE32" s="19"/>
      <c r="AF32" s="19"/>
      <c r="AG32" s="19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</row>
    <row r="33" spans="1:44" ht="12.75" customHeight="1">
      <c r="A33" s="66" t="s">
        <v>116</v>
      </c>
      <c r="B33" s="17">
        <v>19</v>
      </c>
      <c r="C33" s="17">
        <v>70</v>
      </c>
      <c r="D33" s="17">
        <v>30</v>
      </c>
      <c r="E33" s="33">
        <f>B33/D33*30</f>
        <v>19</v>
      </c>
      <c r="F33" s="17">
        <v>0.35</v>
      </c>
      <c r="G33" s="17">
        <v>0.9</v>
      </c>
      <c r="H33" s="17">
        <v>0</v>
      </c>
      <c r="I33" s="17">
        <v>2</v>
      </c>
      <c r="J33" s="17" t="s">
        <v>139</v>
      </c>
      <c r="K33" s="39">
        <f>C33/B33</f>
        <v>3.6842105263157894</v>
      </c>
      <c r="L33" s="35">
        <f>G33/((C33/B33))</f>
        <v>0.2442857142857143</v>
      </c>
      <c r="M33" s="40">
        <f>F33/(C33/B33)</f>
        <v>9.5000000000000001E-2</v>
      </c>
      <c r="N33" s="19">
        <v>0.35</v>
      </c>
      <c r="O33" s="19">
        <v>1</v>
      </c>
      <c r="P33" s="19">
        <v>0.25</v>
      </c>
      <c r="Q33" s="19">
        <v>0.75</v>
      </c>
      <c r="R33" s="50">
        <f>IF((($B$7-($H33+$H$7))&lt;=0),(0+$I$7),(I33*($B$7-(H33+$H$7)))+($I$7))</f>
        <v>100</v>
      </c>
      <c r="S33" s="31">
        <f>((($B$3*F33)+($B$3*$C$3*G33))+(($B$4*N33)+($B$4*$C$4*O33))+(($B$5*P33)+($B$6*Q33)))</f>
        <v>67.11</v>
      </c>
      <c r="T33" s="43">
        <f>IF(((S33-C33)&lt;0),(B33+R33),(S33-C33+B33+R33))</f>
        <v>119</v>
      </c>
      <c r="U33" s="43">
        <f>IFERROR(T33,9999)</f>
        <v>119</v>
      </c>
      <c r="V33" s="44">
        <f>S33/C33</f>
        <v>0.95871428571428574</v>
      </c>
      <c r="W33" s="51">
        <f>IF(((C33-S33)&lt;0),0,C33-S33)</f>
        <v>2.8900000000000006</v>
      </c>
      <c r="X33" s="19" t="str">
        <f>(IF((S33&lt;=C33),"NO","YES"))</f>
        <v>NO</v>
      </c>
      <c r="Y33" s="22">
        <f>RANK(U33,U:U,1)</f>
        <v>25</v>
      </c>
      <c r="Z33" s="19"/>
      <c r="AA33" s="19"/>
      <c r="AB33" s="19"/>
      <c r="AC33" s="19"/>
      <c r="AD33" s="19"/>
      <c r="AE33" s="19"/>
      <c r="AF33" s="19"/>
      <c r="AG33" s="19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</row>
    <row r="34" spans="1:44" ht="12.75" customHeight="1">
      <c r="A34" s="66" t="s">
        <v>76</v>
      </c>
      <c r="B34" s="17">
        <v>19.899999999999999</v>
      </c>
      <c r="C34" s="17">
        <v>130</v>
      </c>
      <c r="D34" s="17">
        <v>30</v>
      </c>
      <c r="E34" s="33">
        <f>B34/D34*30</f>
        <v>19.899999999999999</v>
      </c>
      <c r="F34" s="17">
        <v>0.45</v>
      </c>
      <c r="G34" s="17">
        <v>0.75</v>
      </c>
      <c r="H34" s="17">
        <v>0</v>
      </c>
      <c r="I34" s="17">
        <v>2</v>
      </c>
      <c r="J34" s="17" t="s">
        <v>139</v>
      </c>
      <c r="K34" s="39">
        <f>C34/B34</f>
        <v>6.5326633165829149</v>
      </c>
      <c r="L34" s="35">
        <f>G34/((C34/B34))</f>
        <v>0.11480769230769231</v>
      </c>
      <c r="M34" s="40">
        <f>F34/(C34/B34)</f>
        <v>6.8884615384615377E-2</v>
      </c>
      <c r="N34" s="19">
        <v>0</v>
      </c>
      <c r="O34" s="19">
        <v>0.78</v>
      </c>
      <c r="P34" s="19">
        <v>0.25</v>
      </c>
      <c r="Q34" s="19">
        <v>0.5</v>
      </c>
      <c r="R34" s="50">
        <f>IF((($B$7-($H34+$H$7))&lt;=0),(0+$I$7),(I34*($B$7-(H34+$H$7)))+($I$7))</f>
        <v>100</v>
      </c>
      <c r="S34" s="31">
        <f>((($B$3*F34)+($B$3*$C$3*G34))+(($B$4*N34)+($B$4*$C$4*O34))+(($B$5*P34)+($B$6*Q34)))</f>
        <v>66.8</v>
      </c>
      <c r="T34" s="43">
        <f>IF(((S34-C34)&lt;0),(B34+R34),(S34-C34+B34+R34))</f>
        <v>119.9</v>
      </c>
      <c r="U34" s="43">
        <f>IFERROR(T34,9999)</f>
        <v>119.9</v>
      </c>
      <c r="V34" s="44">
        <f>S34/C34</f>
        <v>0.51384615384615384</v>
      </c>
      <c r="W34" s="51">
        <f>IF(((C34-S34)&lt;0),0,C34-S34)</f>
        <v>63.2</v>
      </c>
      <c r="X34" s="19" t="str">
        <f>(IF((S34&lt;=C34),"NO","YES"))</f>
        <v>NO</v>
      </c>
      <c r="Y34" s="22">
        <f>RANK(U34,U:U,1)</f>
        <v>26</v>
      </c>
      <c r="Z34" s="19"/>
      <c r="AA34" s="20" t="s">
        <v>14</v>
      </c>
      <c r="AB34" s="19"/>
      <c r="AC34" s="20" t="s">
        <v>26</v>
      </c>
      <c r="AD34" s="20" t="s">
        <v>27</v>
      </c>
      <c r="AE34" s="19"/>
      <c r="AF34" s="20" t="s">
        <v>36</v>
      </c>
      <c r="AG34" s="20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</row>
    <row r="35" spans="1:44" ht="12.75" customHeight="1">
      <c r="A35" s="66" t="s">
        <v>127</v>
      </c>
      <c r="B35" s="17">
        <v>19</v>
      </c>
      <c r="C35" s="17">
        <v>70</v>
      </c>
      <c r="D35" s="17">
        <v>30</v>
      </c>
      <c r="E35" s="33">
        <f>B35/D35*30</f>
        <v>19</v>
      </c>
      <c r="F35" s="18">
        <v>0.35</v>
      </c>
      <c r="G35" s="17">
        <f>0.47*2</f>
        <v>0.94</v>
      </c>
      <c r="H35" s="67">
        <v>0</v>
      </c>
      <c r="I35" s="67">
        <v>2.0499999999999998</v>
      </c>
      <c r="J35" s="17" t="s">
        <v>139</v>
      </c>
      <c r="K35" s="39">
        <f>C35/B35</f>
        <v>3.6842105263157894</v>
      </c>
      <c r="L35" s="35">
        <f>G35/((C35/B35))</f>
        <v>0.25514285714285712</v>
      </c>
      <c r="M35" s="40">
        <f>F35/(C35/B35)</f>
        <v>9.5000000000000001E-2</v>
      </c>
      <c r="N35" s="18">
        <v>0.35</v>
      </c>
      <c r="O35" s="17">
        <v>0.97</v>
      </c>
      <c r="P35" s="19">
        <v>0.25</v>
      </c>
      <c r="Q35" s="19">
        <v>0.75</v>
      </c>
      <c r="R35" s="50">
        <f>IF((($B$7-($H35+$H$7))&lt;=0),(0+$I$7),(I35*($B$7-(H35+$H$7)))+($I$7))</f>
        <v>102.49999999999999</v>
      </c>
      <c r="S35" s="31">
        <f>((($B$3*F35)+($B$3*$C$3*G35))+(($B$4*N35)+($B$4*$C$4*O35))+(($B$5*P35)+($B$6*Q35)))</f>
        <v>67.926000000000002</v>
      </c>
      <c r="T35" s="43">
        <f>IF(((S35-C35)&lt;0),(B35+R35),(S35-C35+B35+R35))</f>
        <v>121.49999999999999</v>
      </c>
      <c r="U35" s="43">
        <f>IFERROR(T35,9999)</f>
        <v>121.49999999999999</v>
      </c>
      <c r="V35" s="44">
        <f>S35/C35</f>
        <v>0.97037142857142855</v>
      </c>
      <c r="W35" s="51">
        <f>IF(((C35-S35)&lt;0),0,C35-S35)</f>
        <v>2.0739999999999981</v>
      </c>
      <c r="X35" s="19" t="str">
        <f>(IF((S35&lt;=C35),"NO","YES"))</f>
        <v>NO</v>
      </c>
      <c r="Y35" s="22">
        <f>RANK(U35,U:U,1)</f>
        <v>27</v>
      </c>
      <c r="Z35" s="19"/>
      <c r="AA35" s="19" t="s">
        <v>132</v>
      </c>
      <c r="AB35" s="20"/>
      <c r="AC35" s="20" t="s">
        <v>26</v>
      </c>
      <c r="AD35" s="20" t="s">
        <v>27</v>
      </c>
      <c r="AE35" s="19"/>
      <c r="AF35" s="19"/>
      <c r="AG35" s="19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</row>
    <row r="36" spans="1:44" ht="12.75" customHeight="1">
      <c r="A36" s="66" t="s">
        <v>117</v>
      </c>
      <c r="B36" s="17">
        <v>29</v>
      </c>
      <c r="C36" s="17">
        <v>150</v>
      </c>
      <c r="D36" s="17">
        <v>30</v>
      </c>
      <c r="E36" s="33">
        <f>B36/D36*30</f>
        <v>29</v>
      </c>
      <c r="F36" s="17">
        <v>0.35</v>
      </c>
      <c r="G36" s="17">
        <v>0.8</v>
      </c>
      <c r="H36" s="17">
        <v>0</v>
      </c>
      <c r="I36" s="17">
        <v>2</v>
      </c>
      <c r="J36" s="17" t="s">
        <v>139</v>
      </c>
      <c r="K36" s="39">
        <f>C36/B36</f>
        <v>5.1724137931034484</v>
      </c>
      <c r="L36" s="35">
        <f>G36/((C36/B36))</f>
        <v>0.15466666666666667</v>
      </c>
      <c r="M36" s="40">
        <f>F36/(C36/B36)</f>
        <v>6.7666666666666667E-2</v>
      </c>
      <c r="N36" s="19">
        <v>0.35</v>
      </c>
      <c r="O36" s="17">
        <v>1</v>
      </c>
      <c r="P36" s="19">
        <v>0.25</v>
      </c>
      <c r="Q36" s="19">
        <v>0.75</v>
      </c>
      <c r="R36" s="50">
        <f>IF((($B$7-($H36+$H$7))&lt;=0),(0+$I$7),(I36*($B$7-(H36+$H$7)))+($I$7))</f>
        <v>100</v>
      </c>
      <c r="S36" s="31">
        <f>((($B$3*F36)+($B$3*$C$3*G36))+(($B$4*N36)+($B$4*$C$4*O36))+(($B$5*P36)+($B$6*Q36)))</f>
        <v>65.070000000000007</v>
      </c>
      <c r="T36" s="43">
        <f>IF(((S36-C36)&lt;0),(B36+R36),(S36-C36+B36+R36))</f>
        <v>129</v>
      </c>
      <c r="U36" s="43">
        <f>IFERROR(T36,9999)</f>
        <v>129</v>
      </c>
      <c r="V36" s="44">
        <f>S36/C36</f>
        <v>0.43380000000000007</v>
      </c>
      <c r="W36" s="51">
        <f>IF(((C36-S36)&lt;0),0,C36-S36)</f>
        <v>84.929999999999993</v>
      </c>
      <c r="X36" s="19" t="str">
        <f>(IF((S36&lt;=C36),"NO","YES"))</f>
        <v>NO</v>
      </c>
      <c r="Y36" s="22">
        <f>RANK(U36,U:U,1)</f>
        <v>28</v>
      </c>
      <c r="Z36" s="19"/>
      <c r="AA36" s="20" t="s">
        <v>16</v>
      </c>
      <c r="AB36" s="19"/>
      <c r="AC36" s="20" t="s">
        <v>32</v>
      </c>
      <c r="AD36" s="21"/>
      <c r="AE36" s="19"/>
      <c r="AF36" s="19">
        <v>160</v>
      </c>
      <c r="AG36" s="19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</row>
    <row r="37" spans="1:44" ht="12.75" customHeight="1">
      <c r="A37" s="66" t="s">
        <v>75</v>
      </c>
      <c r="B37" s="17">
        <v>12.9</v>
      </c>
      <c r="C37" s="17">
        <v>50</v>
      </c>
      <c r="D37" s="17">
        <v>30</v>
      </c>
      <c r="E37" s="33">
        <f>B37/D37*30</f>
        <v>12.9</v>
      </c>
      <c r="F37" s="17">
        <v>0.45</v>
      </c>
      <c r="G37" s="17">
        <v>0.75</v>
      </c>
      <c r="H37" s="17">
        <v>0</v>
      </c>
      <c r="I37" s="17">
        <v>2</v>
      </c>
      <c r="J37" s="17" t="s">
        <v>139</v>
      </c>
      <c r="K37" s="39">
        <f>C37/B37</f>
        <v>3.8759689922480618</v>
      </c>
      <c r="L37" s="35">
        <f>G37/((C37/B37))</f>
        <v>0.19350000000000001</v>
      </c>
      <c r="M37" s="40">
        <f>F37/(C37/B37)</f>
        <v>0.11610000000000001</v>
      </c>
      <c r="N37" s="19">
        <v>0</v>
      </c>
      <c r="O37" s="19">
        <v>0.78</v>
      </c>
      <c r="P37" s="19">
        <v>0.25</v>
      </c>
      <c r="Q37" s="19">
        <v>0.5</v>
      </c>
      <c r="R37" s="50">
        <f>IF((($B$7-($H37+$H$7))&lt;=0),(0+$I$7),(I37*($B$7-(H37+$H$7)))+($I$7))</f>
        <v>100</v>
      </c>
      <c r="S37" s="31">
        <f>((($B$3*F37)+($B$3*$C$3*G37))+(($B$4*N37)+($B$4*$C$4*O37))+(($B$5*P37)+($B$6*Q37)))</f>
        <v>66.8</v>
      </c>
      <c r="T37" s="43">
        <f>IF(((S37-C37)&lt;0),(B37+R37),(S37-C37+B37+R37))</f>
        <v>129.69999999999999</v>
      </c>
      <c r="U37" s="43">
        <f>IFERROR(T37,9999)</f>
        <v>129.69999999999999</v>
      </c>
      <c r="V37" s="44">
        <f>S37/C37</f>
        <v>1.3359999999999999</v>
      </c>
      <c r="W37" s="51">
        <f>IF(((C37-S37)&lt;0),0,C37-S37)</f>
        <v>0</v>
      </c>
      <c r="X37" s="19" t="str">
        <f>(IF((S37&lt;=C37),"NO","YES"))</f>
        <v>YES</v>
      </c>
      <c r="Y37" s="22">
        <f>RANK(U37,U:U,1)</f>
        <v>29</v>
      </c>
      <c r="Z37" s="19"/>
      <c r="AA37" s="20" t="s">
        <v>14</v>
      </c>
      <c r="AB37" s="19"/>
      <c r="AC37" s="20" t="s">
        <v>26</v>
      </c>
      <c r="AD37" s="20" t="s">
        <v>27</v>
      </c>
      <c r="AE37" s="19"/>
      <c r="AF37" s="20" t="s">
        <v>36</v>
      </c>
      <c r="AG37" s="20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</row>
    <row r="38" spans="1:44" ht="12.75" customHeight="1">
      <c r="A38" s="66" t="s">
        <v>80</v>
      </c>
      <c r="B38" s="17">
        <v>29.9</v>
      </c>
      <c r="C38" s="17">
        <v>130</v>
      </c>
      <c r="D38" s="17">
        <v>30</v>
      </c>
      <c r="E38" s="33">
        <f>B38/D38*30</f>
        <v>29.9</v>
      </c>
      <c r="F38" s="17">
        <v>0.45</v>
      </c>
      <c r="G38" s="17">
        <v>0.75</v>
      </c>
      <c r="H38" s="67">
        <v>0</v>
      </c>
      <c r="I38" s="67">
        <v>2</v>
      </c>
      <c r="J38" s="17" t="s">
        <v>139</v>
      </c>
      <c r="K38" s="39">
        <f>C38/B38</f>
        <v>4.3478260869565215</v>
      </c>
      <c r="L38" s="35">
        <f>G38/((C38/B38))</f>
        <v>0.17250000000000001</v>
      </c>
      <c r="M38" s="40">
        <f>F38/(C38/B38)</f>
        <v>0.10350000000000001</v>
      </c>
      <c r="N38" s="19">
        <v>0</v>
      </c>
      <c r="O38" s="19">
        <v>0.78</v>
      </c>
      <c r="P38" s="19">
        <v>0.25</v>
      </c>
      <c r="Q38" s="19">
        <v>0.5</v>
      </c>
      <c r="R38" s="50">
        <f>IF((($B$7-($H38+$H$7))&lt;=0),(0+$I$7),(I38*($B$7-(H38+$H$7)))+($I$7))</f>
        <v>100</v>
      </c>
      <c r="S38" s="31">
        <f>((($B$3*F38)+($B$3*$C$3*G38))+(($B$4*N38)+($B$4*$C$4*O38))+(($B$5*P38)+($B$6*Q38)))</f>
        <v>66.8</v>
      </c>
      <c r="T38" s="43">
        <f>IF(((S38-C38)&lt;0),(B38+R38),(S38-C38+B38+R38))</f>
        <v>129.9</v>
      </c>
      <c r="U38" s="43">
        <f>IFERROR(T38,9999)</f>
        <v>129.9</v>
      </c>
      <c r="V38" s="44">
        <f>S38/C38</f>
        <v>0.51384615384615384</v>
      </c>
      <c r="W38" s="51">
        <f>IF(((C38-S38)&lt;0),0,C38-S38)</f>
        <v>63.2</v>
      </c>
      <c r="X38" s="19" t="str">
        <f>(IF((S38&lt;=C38),"NO","YES"))</f>
        <v>NO</v>
      </c>
      <c r="Y38" s="22">
        <f>RANK(U38,U:U,1)</f>
        <v>30</v>
      </c>
      <c r="Z38" s="19"/>
      <c r="AA38" s="20" t="s">
        <v>14</v>
      </c>
      <c r="AB38" s="19"/>
      <c r="AC38" s="20" t="s">
        <v>26</v>
      </c>
      <c r="AD38" s="20" t="s">
        <v>25</v>
      </c>
      <c r="AE38" s="19"/>
      <c r="AF38" s="20" t="s">
        <v>36</v>
      </c>
      <c r="AG38" s="20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</row>
    <row r="39" spans="1:44" ht="12.75" customHeight="1">
      <c r="A39" s="66" t="s">
        <v>77</v>
      </c>
      <c r="B39" s="17">
        <v>29.9</v>
      </c>
      <c r="C39" s="17">
        <v>320</v>
      </c>
      <c r="D39" s="17">
        <v>30</v>
      </c>
      <c r="E39" s="33">
        <f>B39/D39*30</f>
        <v>29.9</v>
      </c>
      <c r="F39" s="17">
        <v>0.45</v>
      </c>
      <c r="G39" s="17">
        <v>0.75</v>
      </c>
      <c r="H39" s="17">
        <v>0</v>
      </c>
      <c r="I39" s="17">
        <v>2</v>
      </c>
      <c r="J39" s="17" t="s">
        <v>139</v>
      </c>
      <c r="K39" s="39">
        <f>C39/B39</f>
        <v>10.702341137123746</v>
      </c>
      <c r="L39" s="35">
        <f>G39/((C39/B39))</f>
        <v>7.0078125000000005E-2</v>
      </c>
      <c r="M39" s="40">
        <f>F39/(C39/B39)</f>
        <v>4.2046875000000004E-2</v>
      </c>
      <c r="N39" s="19">
        <v>0</v>
      </c>
      <c r="O39" s="19">
        <v>0.78</v>
      </c>
      <c r="P39" s="19">
        <v>0.25</v>
      </c>
      <c r="Q39" s="19">
        <v>0.5</v>
      </c>
      <c r="R39" s="50">
        <f>IF((($B$7-($H39+$H$7))&lt;=0),(0+$I$7),(I39*($B$7-(H39+$H$7)))+($I$7))</f>
        <v>100</v>
      </c>
      <c r="S39" s="31">
        <f>((($B$3*F39)+($B$3*$C$3*G39))+(($B$4*N39)+($B$4*$C$4*O39))+(($B$5*P39)+($B$6*Q39)))</f>
        <v>66.8</v>
      </c>
      <c r="T39" s="43">
        <f>IF(((S39-C39)&lt;0),(B39+R39),(S39-C39+B39+R39))</f>
        <v>129.9</v>
      </c>
      <c r="U39" s="43">
        <f>IFERROR(T39,9999)</f>
        <v>129.9</v>
      </c>
      <c r="V39" s="44">
        <f>S39/C39</f>
        <v>0.20874999999999999</v>
      </c>
      <c r="W39" s="51">
        <f>IF(((C39-S39)&lt;0),0,C39-S39)</f>
        <v>253.2</v>
      </c>
      <c r="X39" s="19" t="str">
        <f>(IF((S39&lt;=C39),"NO","YES"))</f>
        <v>NO</v>
      </c>
      <c r="Y39" s="22">
        <f>RANK(U39,U:U,1)</f>
        <v>30</v>
      </c>
      <c r="Z39" s="19"/>
      <c r="AA39" s="20" t="s">
        <v>14</v>
      </c>
      <c r="AB39" s="19"/>
      <c r="AC39" s="20" t="s">
        <v>26</v>
      </c>
      <c r="AD39" s="20" t="s">
        <v>27</v>
      </c>
      <c r="AE39" s="19"/>
      <c r="AF39" s="20" t="s">
        <v>36</v>
      </c>
      <c r="AG39" s="20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</row>
    <row r="40" spans="1:44" ht="12.75" customHeight="1">
      <c r="A40" s="66" t="s">
        <v>128</v>
      </c>
      <c r="B40" s="17">
        <v>29</v>
      </c>
      <c r="C40" s="17">
        <v>150</v>
      </c>
      <c r="D40" s="17">
        <v>30</v>
      </c>
      <c r="E40" s="33">
        <f>B40/D40*30</f>
        <v>29</v>
      </c>
      <c r="F40" s="18">
        <v>0.35</v>
      </c>
      <c r="G40" s="17">
        <f>0.42*2</f>
        <v>0.84</v>
      </c>
      <c r="H40" s="67">
        <v>0</v>
      </c>
      <c r="I40" s="67">
        <v>2.0499999999999998</v>
      </c>
      <c r="J40" s="17" t="s">
        <v>139</v>
      </c>
      <c r="K40" s="39">
        <f>C40/B40</f>
        <v>5.1724137931034484</v>
      </c>
      <c r="L40" s="35">
        <f>G40/((C40/B40))</f>
        <v>0.16239999999999999</v>
      </c>
      <c r="M40" s="40">
        <f>F40/(C40/B40)</f>
        <v>6.7666666666666667E-2</v>
      </c>
      <c r="N40" s="18">
        <v>0.3</v>
      </c>
      <c r="O40" s="17">
        <v>0.88</v>
      </c>
      <c r="P40" s="19">
        <v>0.25</v>
      </c>
      <c r="Q40" s="19">
        <v>0.75</v>
      </c>
      <c r="R40" s="50">
        <f>IF((($B$7-($H40+$H$7))&lt;=0),(0+$I$7),(I40*($B$7-(H40+$H$7)))+($I$7))</f>
        <v>102.49999999999999</v>
      </c>
      <c r="S40" s="31">
        <f>((($B$3*F40)+($B$3*$C$3*G40))+(($B$4*N40)+($B$4*$C$4*O40))+(($B$5*P40)+($B$6*Q40)))</f>
        <v>65.885999999999996</v>
      </c>
      <c r="T40" s="43">
        <f>IF(((S40-C40)&lt;0),(B40+R40),(S40-C40+B40+R40))</f>
        <v>131.5</v>
      </c>
      <c r="U40" s="43">
        <f>IFERROR(T40,9999)</f>
        <v>131.5</v>
      </c>
      <c r="V40" s="44">
        <f>S40/C40</f>
        <v>0.43923999999999996</v>
      </c>
      <c r="W40" s="51">
        <f>IF(((C40-S40)&lt;0),0,C40-S40)</f>
        <v>84.114000000000004</v>
      </c>
      <c r="X40" s="19" t="str">
        <f>(IF((S40&lt;=C40),"NO","YES"))</f>
        <v>NO</v>
      </c>
      <c r="Y40" s="22">
        <f>RANK(U40,U:U,1)</f>
        <v>32</v>
      </c>
      <c r="Z40" s="19"/>
      <c r="AA40" s="19" t="s">
        <v>132</v>
      </c>
      <c r="AB40" s="20"/>
      <c r="AC40" s="20" t="s">
        <v>26</v>
      </c>
      <c r="AD40" s="20" t="s">
        <v>27</v>
      </c>
      <c r="AE40" s="19"/>
      <c r="AF40" s="19"/>
      <c r="AG40" s="19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</row>
    <row r="41" spans="1:44" ht="12.75" customHeight="1">
      <c r="A41" s="66" t="s">
        <v>79</v>
      </c>
      <c r="B41" s="17">
        <v>19.899999999999999</v>
      </c>
      <c r="C41" s="17">
        <v>50</v>
      </c>
      <c r="D41" s="17">
        <v>30</v>
      </c>
      <c r="E41" s="33">
        <f>B41/D41*30</f>
        <v>19.899999999999999</v>
      </c>
      <c r="F41" s="17">
        <v>0.45</v>
      </c>
      <c r="G41" s="17">
        <v>0.75</v>
      </c>
      <c r="H41" s="67">
        <v>0</v>
      </c>
      <c r="I41" s="67">
        <v>2</v>
      </c>
      <c r="J41" s="17" t="s">
        <v>139</v>
      </c>
      <c r="K41" s="39">
        <f>C41/B41</f>
        <v>2.512562814070352</v>
      </c>
      <c r="L41" s="35">
        <f>G41/((C41/B41))</f>
        <v>0.29849999999999999</v>
      </c>
      <c r="M41" s="40">
        <f>F41/(C41/B41)</f>
        <v>0.17909999999999998</v>
      </c>
      <c r="N41" s="19">
        <v>0</v>
      </c>
      <c r="O41" s="19">
        <v>0.78</v>
      </c>
      <c r="P41" s="19">
        <v>0.25</v>
      </c>
      <c r="Q41" s="19">
        <v>0.5</v>
      </c>
      <c r="R41" s="50">
        <f>IF((($B$7-($H41+$H$7))&lt;=0),(0+$I$7),(I41*($B$7-(H41+$H$7)))+($I$7))</f>
        <v>100</v>
      </c>
      <c r="S41" s="31">
        <f>((($B$3*F41)+($B$3*$C$3*G41))+(($B$4*N41)+($B$4*$C$4*O41))+(($B$5*P41)+($B$6*Q41)))</f>
        <v>66.8</v>
      </c>
      <c r="T41" s="43">
        <f>IF(((S41-C41)&lt;0),(B41+R41),(S41-C41+B41+R41))</f>
        <v>136.69999999999999</v>
      </c>
      <c r="U41" s="43">
        <f>IFERROR(T41,9999)</f>
        <v>136.69999999999999</v>
      </c>
      <c r="V41" s="44">
        <f>S41/C41</f>
        <v>1.3359999999999999</v>
      </c>
      <c r="W41" s="51">
        <f>IF(((C41-S41)&lt;0),0,C41-S41)</f>
        <v>0</v>
      </c>
      <c r="X41" s="19" t="str">
        <f>(IF((S41&lt;=C41),"NO","YES"))</f>
        <v>YES</v>
      </c>
      <c r="Y41" s="22">
        <f>RANK(U41,U:U,1)</f>
        <v>33</v>
      </c>
      <c r="Z41" s="19"/>
      <c r="AA41" s="20" t="s">
        <v>14</v>
      </c>
      <c r="AB41" s="19"/>
      <c r="AC41" s="20" t="s">
        <v>26</v>
      </c>
      <c r="AD41" s="20" t="s">
        <v>25</v>
      </c>
      <c r="AE41" s="19"/>
      <c r="AF41" s="20" t="s">
        <v>36</v>
      </c>
      <c r="AG41" s="20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</row>
    <row r="42" spans="1:44" ht="12.75" customHeight="1">
      <c r="A42" s="66" t="s">
        <v>118</v>
      </c>
      <c r="B42" s="17">
        <v>39</v>
      </c>
      <c r="C42" s="17">
        <v>250</v>
      </c>
      <c r="D42" s="17">
        <v>30</v>
      </c>
      <c r="E42" s="33">
        <f>B42/D42*30</f>
        <v>39</v>
      </c>
      <c r="F42" s="17">
        <v>0.35</v>
      </c>
      <c r="G42" s="17">
        <v>0.8</v>
      </c>
      <c r="H42" s="17">
        <v>0</v>
      </c>
      <c r="I42" s="17">
        <v>2</v>
      </c>
      <c r="J42" s="17" t="s">
        <v>139</v>
      </c>
      <c r="K42" s="39">
        <f>C42/B42</f>
        <v>6.4102564102564106</v>
      </c>
      <c r="L42" s="35">
        <f>G42/((C42/B42))</f>
        <v>0.12479999999999999</v>
      </c>
      <c r="M42" s="40">
        <f>F42/(C42/B42)</f>
        <v>5.4599999999999996E-2</v>
      </c>
      <c r="N42" s="19">
        <v>0.35</v>
      </c>
      <c r="O42" s="17">
        <v>1</v>
      </c>
      <c r="P42" s="19">
        <v>0.25</v>
      </c>
      <c r="Q42" s="19">
        <v>0.75</v>
      </c>
      <c r="R42" s="50">
        <f>IF((($B$7-($H42+$H$7))&lt;=0),(0+$I$7),(I42*($B$7-(H42+$H$7)))+($I$7))</f>
        <v>100</v>
      </c>
      <c r="S42" s="31">
        <f>((($B$3*F42)+($B$3*$C$3*G42))+(($B$4*N42)+($B$4*$C$4*O42))+(($B$5*P42)+($B$6*Q42)))</f>
        <v>65.070000000000007</v>
      </c>
      <c r="T42" s="43">
        <f>IF(((S42-C42)&lt;0),(B42+R42),(S42-C42+B42+R42))</f>
        <v>139</v>
      </c>
      <c r="U42" s="43">
        <f>IFERROR(T42,9999)</f>
        <v>139</v>
      </c>
      <c r="V42" s="44">
        <f>S42/C42</f>
        <v>0.26028000000000001</v>
      </c>
      <c r="W42" s="51">
        <f>IF(((C42-S42)&lt;0),0,C42-S42)</f>
        <v>184.93</v>
      </c>
      <c r="X42" s="19" t="str">
        <f>(IF((S42&lt;=C42),"NO","YES"))</f>
        <v>NO</v>
      </c>
      <c r="Y42" s="22">
        <f>RANK(U42,U:U,1)</f>
        <v>34</v>
      </c>
      <c r="Z42" s="19"/>
      <c r="AA42" s="20" t="s">
        <v>16</v>
      </c>
      <c r="AB42" s="19"/>
      <c r="AC42" s="20" t="s">
        <v>32</v>
      </c>
      <c r="AD42" s="21"/>
      <c r="AE42" s="19"/>
      <c r="AF42" s="19">
        <v>200</v>
      </c>
      <c r="AG42" s="19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</row>
    <row r="43" spans="1:44" ht="12.75" customHeight="1">
      <c r="A43" s="66" t="s">
        <v>63</v>
      </c>
      <c r="B43" s="17">
        <v>49</v>
      </c>
      <c r="C43" s="17">
        <v>200</v>
      </c>
      <c r="D43" s="17">
        <v>30</v>
      </c>
      <c r="E43" s="33">
        <f>B43/D43*30</f>
        <v>49</v>
      </c>
      <c r="F43" s="17">
        <v>0.37</v>
      </c>
      <c r="G43" s="17">
        <v>0.8</v>
      </c>
      <c r="H43" s="17">
        <v>0</v>
      </c>
      <c r="I43" s="17">
        <v>2</v>
      </c>
      <c r="J43" s="17" t="s">
        <v>139</v>
      </c>
      <c r="K43" s="39">
        <f>C43/B43</f>
        <v>4.0816326530612246</v>
      </c>
      <c r="L43" s="35">
        <f>G43/((C43/B43))</f>
        <v>0.19600000000000001</v>
      </c>
      <c r="M43" s="40">
        <f>F43/(C43/B43)</f>
        <v>9.0649999999999994E-2</v>
      </c>
      <c r="N43" s="19">
        <v>0</v>
      </c>
      <c r="O43" s="19">
        <v>0.6</v>
      </c>
      <c r="P43" s="19">
        <v>0.25</v>
      </c>
      <c r="Q43" s="19">
        <v>0.5</v>
      </c>
      <c r="R43" s="50">
        <f>IF((($B$7-($H43+$H$7))&lt;=0),(0+$I$7),(I43*($B$7-(H43+$H$7)))+($I$7))</f>
        <v>100</v>
      </c>
      <c r="S43" s="31">
        <f>((($B$3*F43)+($B$3*$C$3*G43))+(($B$4*N43)+($B$4*$C$4*O43))+(($B$5*P43)+($B$6*Q43)))</f>
        <v>65.42</v>
      </c>
      <c r="T43" s="43">
        <f>IF(((S43-C43)&lt;0),(B43+R43),(S43-C43+B43+R43))</f>
        <v>149</v>
      </c>
      <c r="U43" s="43">
        <f>IFERROR(T43,9999)</f>
        <v>149</v>
      </c>
      <c r="V43" s="44">
        <f>S43/C43</f>
        <v>0.3271</v>
      </c>
      <c r="W43" s="51">
        <f>IF(((C43-S43)&lt;0),0,C43-S43)</f>
        <v>134.57999999999998</v>
      </c>
      <c r="X43" s="19" t="str">
        <f>(IF((S43&lt;=C43),"NO","YES"))</f>
        <v>NO</v>
      </c>
      <c r="Y43" s="22">
        <f>RANK(U43,U:U,1)</f>
        <v>35</v>
      </c>
      <c r="Z43" s="19"/>
      <c r="AA43" s="20" t="s">
        <v>12</v>
      </c>
      <c r="AB43" s="20" t="s">
        <v>25</v>
      </c>
      <c r="AC43" s="20" t="s">
        <v>26</v>
      </c>
      <c r="AD43" s="20" t="s">
        <v>27</v>
      </c>
      <c r="AE43" s="19"/>
      <c r="AF43" s="19">
        <v>50</v>
      </c>
      <c r="AG43" s="19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</row>
    <row r="44" spans="1:44" ht="12.75" customHeight="1">
      <c r="A44" s="66" t="s">
        <v>119</v>
      </c>
      <c r="B44" s="17">
        <v>49</v>
      </c>
      <c r="C44" s="17">
        <v>350</v>
      </c>
      <c r="D44" s="17">
        <v>30</v>
      </c>
      <c r="E44" s="33">
        <f>B44/D44*30</f>
        <v>49</v>
      </c>
      <c r="F44" s="17">
        <v>0.35</v>
      </c>
      <c r="G44" s="17">
        <v>0.8</v>
      </c>
      <c r="H44" s="17">
        <v>0</v>
      </c>
      <c r="I44" s="17">
        <v>2</v>
      </c>
      <c r="J44" s="17" t="s">
        <v>139</v>
      </c>
      <c r="K44" s="39">
        <f>C44/B44</f>
        <v>7.1428571428571432</v>
      </c>
      <c r="L44" s="35">
        <f>G44/((C44/B44))</f>
        <v>0.112</v>
      </c>
      <c r="M44" s="40">
        <f>F44/(C44/B44)</f>
        <v>4.8999999999999995E-2</v>
      </c>
      <c r="N44" s="19">
        <v>0.35</v>
      </c>
      <c r="O44" s="17">
        <v>1</v>
      </c>
      <c r="P44" s="19">
        <v>0.25</v>
      </c>
      <c r="Q44" s="19">
        <v>0.75</v>
      </c>
      <c r="R44" s="50">
        <f>IF((($B$7-($H44+$H$7))&lt;=0),(0+$I$7),(I44*($B$7-(H44+$H$7)))+($I$7))</f>
        <v>100</v>
      </c>
      <c r="S44" s="31">
        <f>((($B$3*F44)+($B$3*$C$3*G44))+(($B$4*N44)+($B$4*$C$4*O44))+(($B$5*P44)+($B$6*Q44)))</f>
        <v>65.070000000000007</v>
      </c>
      <c r="T44" s="43">
        <f>IF(((S44-C44)&lt;0),(B44+R44),(S44-C44+B44+R44))</f>
        <v>149</v>
      </c>
      <c r="U44" s="43">
        <f>IFERROR(T44,9999)</f>
        <v>149</v>
      </c>
      <c r="V44" s="44">
        <f>S44/C44</f>
        <v>0.18591428571428573</v>
      </c>
      <c r="W44" s="51">
        <f>IF(((C44-S44)&lt;0),0,C44-S44)</f>
        <v>284.93</v>
      </c>
      <c r="X44" s="19" t="str">
        <f>(IF((S44&lt;=C44),"NO","YES"))</f>
        <v>NO</v>
      </c>
      <c r="Y44" s="22">
        <f>RANK(U44,U:U,1)</f>
        <v>35</v>
      </c>
      <c r="Z44" s="19"/>
      <c r="AA44" s="20" t="s">
        <v>16</v>
      </c>
      <c r="AB44" s="19"/>
      <c r="AC44" s="20" t="s">
        <v>32</v>
      </c>
      <c r="AD44" s="21"/>
      <c r="AE44" s="19"/>
      <c r="AF44" s="19">
        <v>240</v>
      </c>
      <c r="AG44" s="19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</row>
    <row r="45" spans="1:44" ht="12.75" customHeight="1">
      <c r="A45" s="66" t="s">
        <v>81</v>
      </c>
      <c r="B45" s="17">
        <v>49.9</v>
      </c>
      <c r="C45" s="17">
        <v>320</v>
      </c>
      <c r="D45" s="17">
        <v>30</v>
      </c>
      <c r="E45" s="33">
        <f>B45/D45*30</f>
        <v>49.9</v>
      </c>
      <c r="F45" s="17">
        <v>0.45</v>
      </c>
      <c r="G45" s="17">
        <v>0.75</v>
      </c>
      <c r="H45" s="17">
        <v>0</v>
      </c>
      <c r="I45" s="17">
        <v>2</v>
      </c>
      <c r="J45" s="17" t="s">
        <v>139</v>
      </c>
      <c r="K45" s="39">
        <f>C45/B45</f>
        <v>6.4128256513026054</v>
      </c>
      <c r="L45" s="35">
        <f>G45/((C45/B45))</f>
        <v>0.11695312499999999</v>
      </c>
      <c r="M45" s="40">
        <f>F45/(C45/B45)</f>
        <v>7.0171874999999995E-2</v>
      </c>
      <c r="N45" s="19">
        <v>0</v>
      </c>
      <c r="O45" s="19">
        <v>0.78</v>
      </c>
      <c r="P45" s="19">
        <v>0.25</v>
      </c>
      <c r="Q45" s="19">
        <v>0.5</v>
      </c>
      <c r="R45" s="50">
        <f>IF((($B$7-($H45+$H$7))&lt;=0),(0+$I$7),(I45*($B$7-(H45+$H$7)))+($I$7))</f>
        <v>100</v>
      </c>
      <c r="S45" s="31">
        <f>((($B$3*F45)+($B$3*$C$3*G45))+(($B$4*N45)+($B$4*$C$4*O45))+(($B$5*P45)+($B$6*Q45)))</f>
        <v>66.8</v>
      </c>
      <c r="T45" s="43">
        <f>IF(((S45-C45)&lt;0),(B45+R45),(S45-C45+B45+R45))</f>
        <v>149.9</v>
      </c>
      <c r="U45" s="43">
        <f>IFERROR(T45,9999)</f>
        <v>149.9</v>
      </c>
      <c r="V45" s="44">
        <f>S45/C45</f>
        <v>0.20874999999999999</v>
      </c>
      <c r="W45" s="51">
        <f>IF(((C45-S45)&lt;0),0,C45-S45)</f>
        <v>253.2</v>
      </c>
      <c r="X45" s="19" t="str">
        <f>(IF((S45&lt;=C45),"NO","YES"))</f>
        <v>NO</v>
      </c>
      <c r="Y45" s="22">
        <f>RANK(U45,U:U,1)</f>
        <v>37</v>
      </c>
      <c r="Z45" s="19"/>
      <c r="AA45" s="20" t="s">
        <v>14</v>
      </c>
      <c r="AB45" s="19"/>
      <c r="AC45" s="20" t="s">
        <v>26</v>
      </c>
      <c r="AD45" s="20" t="s">
        <v>25</v>
      </c>
      <c r="AE45" s="19"/>
      <c r="AF45" s="20" t="s">
        <v>36</v>
      </c>
      <c r="AG45" s="20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</row>
    <row r="46" spans="1:44" ht="12.75" customHeight="1">
      <c r="A46" s="66" t="s">
        <v>78</v>
      </c>
      <c r="B46" s="17">
        <v>49.9</v>
      </c>
      <c r="C46" s="17">
        <v>600</v>
      </c>
      <c r="D46" s="17">
        <v>30</v>
      </c>
      <c r="E46" s="33">
        <f>B46/D46*30</f>
        <v>49.9</v>
      </c>
      <c r="F46" s="17">
        <v>0.45</v>
      </c>
      <c r="G46" s="17">
        <v>0.75</v>
      </c>
      <c r="H46" s="17">
        <v>0</v>
      </c>
      <c r="I46" s="17">
        <v>2</v>
      </c>
      <c r="J46" s="17" t="s">
        <v>139</v>
      </c>
      <c r="K46" s="39">
        <f>C46/B46</f>
        <v>12.024048096192384</v>
      </c>
      <c r="L46" s="35">
        <f>G46/((C46/B46))</f>
        <v>6.2375E-2</v>
      </c>
      <c r="M46" s="40">
        <f>F46/(C46/B46)</f>
        <v>3.7425E-2</v>
      </c>
      <c r="N46" s="19">
        <v>0</v>
      </c>
      <c r="O46" s="19">
        <v>0.78</v>
      </c>
      <c r="P46" s="19">
        <v>0.25</v>
      </c>
      <c r="Q46" s="19">
        <v>0.5</v>
      </c>
      <c r="R46" s="50">
        <f>IF((($B$7-($H46+$H$7))&lt;=0),(0+$I$7),(I46*($B$7-(H46+$H$7)))+($I$7))</f>
        <v>100</v>
      </c>
      <c r="S46" s="31">
        <f>((($B$3*F46)+($B$3*$C$3*G46))+(($B$4*N46)+($B$4*$C$4*O46))+(($B$5*P46)+($B$6*Q46)))</f>
        <v>66.8</v>
      </c>
      <c r="T46" s="43">
        <f>IF(((S46-C46)&lt;0),(B46+R46),(S46-C46+B46+R46))</f>
        <v>149.9</v>
      </c>
      <c r="U46" s="43">
        <f>IFERROR(T46,9999)</f>
        <v>149.9</v>
      </c>
      <c r="V46" s="44">
        <f>S46/C46</f>
        <v>0.11133333333333333</v>
      </c>
      <c r="W46" s="51">
        <f>IF(((C46-S46)&lt;0),0,C46-S46)</f>
        <v>533.20000000000005</v>
      </c>
      <c r="X46" s="19" t="str">
        <f>(IF((S46&lt;=C46),"NO","YES"))</f>
        <v>NO</v>
      </c>
      <c r="Y46" s="22">
        <f>RANK(U46,U:U,1)</f>
        <v>37</v>
      </c>
      <c r="Z46" s="19"/>
      <c r="AA46" s="20" t="s">
        <v>14</v>
      </c>
      <c r="AB46" s="19"/>
      <c r="AC46" s="20" t="s">
        <v>26</v>
      </c>
      <c r="AD46" s="20" t="s">
        <v>27</v>
      </c>
      <c r="AE46" s="19"/>
      <c r="AF46" s="20" t="s">
        <v>36</v>
      </c>
      <c r="AG46" s="20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</row>
    <row r="47" spans="1:44" ht="12.75" customHeight="1">
      <c r="A47" s="66" t="s">
        <v>115</v>
      </c>
      <c r="B47" s="17">
        <v>150</v>
      </c>
      <c r="C47" s="17">
        <v>150</v>
      </c>
      <c r="D47" s="17">
        <v>30</v>
      </c>
      <c r="E47" s="33">
        <f>B47/D47*30</f>
        <v>150</v>
      </c>
      <c r="F47" s="17">
        <v>0.25</v>
      </c>
      <c r="G47" s="17">
        <f>0.18*2</f>
        <v>0.36</v>
      </c>
      <c r="H47" s="17">
        <v>100</v>
      </c>
      <c r="I47" s="17">
        <v>4</v>
      </c>
      <c r="J47" s="17" t="s">
        <v>139</v>
      </c>
      <c r="K47" s="39">
        <f>C47/B47</f>
        <v>1</v>
      </c>
      <c r="L47" s="35">
        <f>G47/((C47/B47))</f>
        <v>0.36</v>
      </c>
      <c r="M47" s="40">
        <f>F47/(C47/B47)</f>
        <v>0.25</v>
      </c>
      <c r="N47" s="19">
        <v>0.25</v>
      </c>
      <c r="O47" s="19">
        <f>G47</f>
        <v>0.36</v>
      </c>
      <c r="P47" s="19">
        <v>0.25</v>
      </c>
      <c r="Q47" s="19">
        <v>0.5</v>
      </c>
      <c r="R47" s="50">
        <f>IF((($B$7-($H47+$H$7))&lt;=0),(0+$I$7),(I47*($B$7-(H47+$H$7)))+($I$7))</f>
        <v>0</v>
      </c>
      <c r="S47" s="31">
        <f>((($B$3*F47)+($B$3*$C$3*G47))+(($B$4*N47)+($B$4*$C$4*O47))+(($B$5*P47)+($B$6*Q47)))</f>
        <v>52.844000000000001</v>
      </c>
      <c r="T47" s="43">
        <f>IF(((S47-C47)&lt;0),(B47+R47),(S47-C47+B47+R47))</f>
        <v>150</v>
      </c>
      <c r="U47" s="43">
        <f>IFERROR(T47,9999)</f>
        <v>150</v>
      </c>
      <c r="V47" s="44">
        <f>S47/C47</f>
        <v>0.35229333333333335</v>
      </c>
      <c r="W47" s="51">
        <f>IF(((C47-S47)&lt;0),0,C47-S47)</f>
        <v>97.156000000000006</v>
      </c>
      <c r="X47" s="19" t="str">
        <f>(IF((S47&lt;=C47),"NO","YES"))</f>
        <v>NO</v>
      </c>
      <c r="Y47" s="22">
        <f>RANK(U47,U:U,1)</f>
        <v>39</v>
      </c>
      <c r="Z47" s="19"/>
      <c r="AA47" s="20" t="s">
        <v>15</v>
      </c>
      <c r="AB47" s="19"/>
      <c r="AC47" s="20" t="s">
        <v>26</v>
      </c>
      <c r="AD47" s="20" t="s">
        <v>27</v>
      </c>
      <c r="AE47" s="19"/>
      <c r="AF47" s="19"/>
      <c r="AG47" s="19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</row>
    <row r="48" spans="1:44" ht="12.75" customHeight="1">
      <c r="A48" s="66" t="s">
        <v>129</v>
      </c>
      <c r="B48" s="17">
        <v>49</v>
      </c>
      <c r="C48" s="17">
        <v>350</v>
      </c>
      <c r="D48" s="17">
        <v>30</v>
      </c>
      <c r="E48" s="33">
        <f>B48/D48*30</f>
        <v>49</v>
      </c>
      <c r="F48" s="18">
        <v>0.35</v>
      </c>
      <c r="G48" s="17">
        <v>0.8</v>
      </c>
      <c r="H48" s="67">
        <v>0</v>
      </c>
      <c r="I48" s="67">
        <v>2.0499999999999998</v>
      </c>
      <c r="J48" s="17" t="s">
        <v>139</v>
      </c>
      <c r="K48" s="39">
        <f>C48/B48</f>
        <v>7.1428571428571432</v>
      </c>
      <c r="L48" s="35">
        <f>G48/((C48/B48))</f>
        <v>0.112</v>
      </c>
      <c r="M48" s="40">
        <f>F48/(C48/B48)</f>
        <v>4.8999999999999995E-2</v>
      </c>
      <c r="N48" s="18">
        <v>0.3</v>
      </c>
      <c r="O48" s="17">
        <v>0.8</v>
      </c>
      <c r="P48" s="19">
        <v>0.25</v>
      </c>
      <c r="Q48" s="19">
        <v>0.75</v>
      </c>
      <c r="R48" s="50">
        <f>IF((($B$7-($H48+$H$7))&lt;=0),(0+$I$7),(I48*($B$7-(H48+$H$7)))+($I$7))</f>
        <v>102.49999999999999</v>
      </c>
      <c r="S48" s="31">
        <f>((($B$3*F48)+($B$3*$C$3*G48))+(($B$4*N48)+($B$4*$C$4*O48))+(($B$5*P48)+($B$6*Q48)))</f>
        <v>65.070000000000007</v>
      </c>
      <c r="T48" s="43">
        <f>IF(((S48-C48)&lt;0),(B48+R48),(S48-C48+B48+R48))</f>
        <v>151.5</v>
      </c>
      <c r="U48" s="43">
        <f>IFERROR(T48,9999)</f>
        <v>151.5</v>
      </c>
      <c r="V48" s="44">
        <f>S48/C48</f>
        <v>0.18591428571428573</v>
      </c>
      <c r="W48" s="51">
        <f>IF(((C48-S48)&lt;0),0,C48-S48)</f>
        <v>284.93</v>
      </c>
      <c r="X48" s="19" t="str">
        <f>(IF((S48&lt;=C48),"NO","YES"))</f>
        <v>NO</v>
      </c>
      <c r="Y48" s="22">
        <f>RANK(U48,U:U,1)</f>
        <v>40</v>
      </c>
      <c r="Z48" s="19"/>
      <c r="AA48" s="19" t="s">
        <v>132</v>
      </c>
      <c r="AB48" s="20"/>
      <c r="AC48" s="20" t="s">
        <v>26</v>
      </c>
      <c r="AD48" s="20" t="s">
        <v>27</v>
      </c>
      <c r="AE48" s="19"/>
      <c r="AF48" s="19"/>
      <c r="AG48" s="19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</row>
    <row r="49" spans="1:44" ht="12.75" customHeight="1">
      <c r="A49" s="66" t="s">
        <v>100</v>
      </c>
      <c r="B49" s="17">
        <v>145</v>
      </c>
      <c r="C49" s="17">
        <v>1150</v>
      </c>
      <c r="D49" s="17">
        <v>30</v>
      </c>
      <c r="E49" s="33">
        <f>B49/D49*30</f>
        <v>145</v>
      </c>
      <c r="F49" s="17">
        <v>0.4</v>
      </c>
      <c r="G49" s="17">
        <v>0.8</v>
      </c>
      <c r="H49" s="17">
        <v>0</v>
      </c>
      <c r="I49" s="17">
        <v>0.2</v>
      </c>
      <c r="J49" s="17" t="s">
        <v>157</v>
      </c>
      <c r="K49" s="39">
        <f>C49/B49</f>
        <v>7.931034482758621</v>
      </c>
      <c r="L49" s="35">
        <f>G49/((C49/B49))</f>
        <v>0.10086956521739131</v>
      </c>
      <c r="M49" s="40">
        <f>F49/(C49/B49)</f>
        <v>5.0434782608695654E-2</v>
      </c>
      <c r="N49" s="19">
        <v>0</v>
      </c>
      <c r="O49" s="19">
        <v>0</v>
      </c>
      <c r="P49" s="19">
        <v>0.25</v>
      </c>
      <c r="Q49" s="19">
        <v>0.6</v>
      </c>
      <c r="R49" s="50">
        <f>IF((($B$7-($H49+$H$7))&lt;=0),(0+$I$7),(I49*($B$7-(H49+$H$7)))+($I$7))</f>
        <v>10</v>
      </c>
      <c r="S49" s="31">
        <f>((($B$3*F49)+($B$3*$C$3*G49))+(($B$4*N49)+($B$4*$C$4*O49))+(($B$5*P49)+($B$6*Q49)))</f>
        <v>66.42</v>
      </c>
      <c r="T49" s="43">
        <f>IF(((S49-C49)&lt;0),(B49+R49),(S49-C49+B49+R49))</f>
        <v>155</v>
      </c>
      <c r="U49" s="43">
        <f>IFERROR(T49,9999)</f>
        <v>155</v>
      </c>
      <c r="V49" s="44">
        <f>S49/C49</f>
        <v>5.7756521739130436E-2</v>
      </c>
      <c r="W49" s="51">
        <f>IF(((C49-S49)&lt;0),0,C49-S49)</f>
        <v>1083.58</v>
      </c>
      <c r="X49" s="19" t="str">
        <f>(IF((S49&lt;=C49),"NO","YES"))</f>
        <v>NO</v>
      </c>
      <c r="Y49" s="22">
        <f>RANK(U49,U:U,1)</f>
        <v>41</v>
      </c>
      <c r="Z49" s="19"/>
      <c r="AA49" s="20" t="s">
        <v>14</v>
      </c>
      <c r="AB49" s="20" t="s">
        <v>25</v>
      </c>
      <c r="AC49" s="20" t="s">
        <v>26</v>
      </c>
      <c r="AD49" s="20" t="s">
        <v>25</v>
      </c>
      <c r="AE49" s="20" t="s">
        <v>33</v>
      </c>
      <c r="AF49" s="20" t="s">
        <v>34</v>
      </c>
      <c r="AG49" s="20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</row>
    <row r="50" spans="1:44" ht="12.75" customHeight="1">
      <c r="A50" s="66" t="s">
        <v>70</v>
      </c>
      <c r="B50" s="17">
        <v>60</v>
      </c>
      <c r="C50" s="17">
        <v>50</v>
      </c>
      <c r="D50" s="17">
        <v>30</v>
      </c>
      <c r="E50" s="33">
        <f>B50/D50*30</f>
        <v>60</v>
      </c>
      <c r="F50" s="17">
        <v>0.27</v>
      </c>
      <c r="G50" s="17">
        <v>0.52</v>
      </c>
      <c r="H50" s="17">
        <v>5</v>
      </c>
      <c r="I50" s="17">
        <v>2</v>
      </c>
      <c r="J50" s="17" t="s">
        <v>139</v>
      </c>
      <c r="K50" s="39">
        <f>C50/B50</f>
        <v>0.83333333333333337</v>
      </c>
      <c r="L50" s="35">
        <f>G50/((C50/B50))</f>
        <v>0.624</v>
      </c>
      <c r="M50" s="40">
        <f>F50/(C50/B50)</f>
        <v>0.32400000000000001</v>
      </c>
      <c r="N50" s="19">
        <v>0</v>
      </c>
      <c r="O50" s="19">
        <v>0.6</v>
      </c>
      <c r="P50" s="19">
        <v>0.25</v>
      </c>
      <c r="Q50" s="19">
        <v>0.5</v>
      </c>
      <c r="R50" s="50">
        <f>IF((($B$7-($H50+$H$7))&lt;=0),(0+$I$7),(I50*($B$7-(H50+$H$7)))+($I$7))</f>
        <v>90</v>
      </c>
      <c r="S50" s="31">
        <f>((($B$3*F50)+($B$3*$C$3*G50))+(($B$4*N50)+($B$4*$C$4*O50))+(($B$5*P50)+($B$6*Q50)))</f>
        <v>56.708000000000006</v>
      </c>
      <c r="T50" s="43">
        <f>IF(((S50-C50)&lt;0),(B50+R50),(S50-C50+B50+R50))</f>
        <v>156.708</v>
      </c>
      <c r="U50" s="43">
        <f>IFERROR(T50,9999)</f>
        <v>156.708</v>
      </c>
      <c r="V50" s="44">
        <f>S50/C50</f>
        <v>1.1341600000000001</v>
      </c>
      <c r="W50" s="51">
        <f>IF(((C50-S50)&lt;0),0,C50-S50)</f>
        <v>0</v>
      </c>
      <c r="X50" s="19" t="str">
        <f>(IF((S50&lt;=C50),"NO","YES"))</f>
        <v>YES</v>
      </c>
      <c r="Y50" s="22">
        <f>RANK(U50,U:U,1)</f>
        <v>42</v>
      </c>
      <c r="Z50" s="19"/>
      <c r="AA50" s="20" t="s">
        <v>12</v>
      </c>
      <c r="AB50" s="20"/>
      <c r="AC50" s="20"/>
      <c r="AD50" s="20"/>
      <c r="AE50" s="19"/>
      <c r="AF50" s="19"/>
      <c r="AG50" s="19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</row>
    <row r="51" spans="1:44" ht="12.75" customHeight="1">
      <c r="A51" s="66" t="s">
        <v>69</v>
      </c>
      <c r="B51" s="17">
        <v>40</v>
      </c>
      <c r="C51" s="17">
        <v>35</v>
      </c>
      <c r="D51" s="17">
        <v>30</v>
      </c>
      <c r="E51" s="33">
        <f>B51/D51*30</f>
        <v>40</v>
      </c>
      <c r="F51" s="17">
        <v>0.27</v>
      </c>
      <c r="G51" s="17">
        <v>0.76</v>
      </c>
      <c r="H51" s="17">
        <v>2.5</v>
      </c>
      <c r="I51" s="17">
        <v>2</v>
      </c>
      <c r="J51" s="17" t="s">
        <v>139</v>
      </c>
      <c r="K51" s="39">
        <f>C51/B51</f>
        <v>0.875</v>
      </c>
      <c r="L51" s="35">
        <f>G51/((C51/B51))</f>
        <v>0.86857142857142855</v>
      </c>
      <c r="M51" s="40">
        <f>F51/(C51/B51)</f>
        <v>0.30857142857142861</v>
      </c>
      <c r="N51" s="19">
        <v>0</v>
      </c>
      <c r="O51" s="19">
        <v>0.6</v>
      </c>
      <c r="P51" s="19">
        <v>0.25</v>
      </c>
      <c r="Q51" s="19">
        <v>0.5</v>
      </c>
      <c r="R51" s="50">
        <f>IF((($B$7-($H51+$H$7))&lt;=0),(0+$I$7),(I51*($B$7-(H51+$H$7)))+($I$7))</f>
        <v>95</v>
      </c>
      <c r="S51" s="31">
        <f>((($B$3*F51)+($B$3*$C$3*G51))+(($B$4*N51)+($B$4*$C$4*O51))+(($B$5*P51)+($B$6*Q51)))</f>
        <v>61.603999999999999</v>
      </c>
      <c r="T51" s="43">
        <f>IF(((S51-C51)&lt;0),(B51+R51),(S51-C51+B51+R51))</f>
        <v>161.60399999999998</v>
      </c>
      <c r="U51" s="43">
        <f>IFERROR(T51,9999)</f>
        <v>161.60399999999998</v>
      </c>
      <c r="V51" s="44">
        <f>S51/C51</f>
        <v>1.7601142857142857</v>
      </c>
      <c r="W51" s="51">
        <f>IF(((C51-S51)&lt;0),0,C51-S51)</f>
        <v>0</v>
      </c>
      <c r="X51" s="19" t="str">
        <f>(IF((S51&lt;=C51),"NO","YES"))</f>
        <v>YES</v>
      </c>
      <c r="Y51" s="22">
        <f>RANK(U51,U:U,1)</f>
        <v>43</v>
      </c>
      <c r="Z51" s="19"/>
      <c r="AA51" s="20" t="s">
        <v>12</v>
      </c>
      <c r="AB51" s="20"/>
      <c r="AC51" s="20"/>
      <c r="AD51" s="20"/>
      <c r="AE51" s="19"/>
      <c r="AF51" s="19"/>
      <c r="AG51" s="19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</row>
    <row r="52" spans="1:44" ht="12.75" customHeight="1">
      <c r="A52" s="66" t="s">
        <v>68</v>
      </c>
      <c r="B52" s="17">
        <v>30</v>
      </c>
      <c r="C52" s="17">
        <v>25</v>
      </c>
      <c r="D52" s="17">
        <v>30</v>
      </c>
      <c r="E52" s="33">
        <f>B52/D52*30</f>
        <v>30</v>
      </c>
      <c r="F52" s="17">
        <v>0.27</v>
      </c>
      <c r="G52" s="17">
        <v>0.92</v>
      </c>
      <c r="H52" s="17">
        <v>2.5</v>
      </c>
      <c r="I52" s="17">
        <v>2</v>
      </c>
      <c r="J52" s="17" t="s">
        <v>139</v>
      </c>
      <c r="K52" s="39">
        <f>C52/B52</f>
        <v>0.83333333333333337</v>
      </c>
      <c r="L52" s="35">
        <f>G52/((C52/B52))</f>
        <v>1.1040000000000001</v>
      </c>
      <c r="M52" s="40">
        <f>F52/(C52/B52)</f>
        <v>0.32400000000000001</v>
      </c>
      <c r="N52" s="19">
        <v>0</v>
      </c>
      <c r="O52" s="19">
        <v>0.6</v>
      </c>
      <c r="P52" s="19">
        <v>0.25</v>
      </c>
      <c r="Q52" s="19">
        <v>0.5</v>
      </c>
      <c r="R52" s="50">
        <f>IF((($B$7-($H52+$H$7))&lt;=0),(0+$I$7),(I52*($B$7-(H52+$H$7)))+($I$7))</f>
        <v>95</v>
      </c>
      <c r="S52" s="31">
        <f>((($B$3*F52)+($B$3*$C$3*G52))+(($B$4*N52)+($B$4*$C$4*O52))+(($B$5*P52)+($B$6*Q52)))</f>
        <v>64.868000000000009</v>
      </c>
      <c r="T52" s="43">
        <f>IF(((S52-C52)&lt;0),(B52+R52),(S52-C52+B52+R52))</f>
        <v>164.86799999999999</v>
      </c>
      <c r="U52" s="43">
        <f>IFERROR(T52,9999)</f>
        <v>164.86799999999999</v>
      </c>
      <c r="V52" s="44">
        <f>S52/C52</f>
        <v>2.5947200000000006</v>
      </c>
      <c r="W52" s="51">
        <f>IF(((C52-S52)&lt;0),0,C52-S52)</f>
        <v>0</v>
      </c>
      <c r="X52" s="19" t="str">
        <f>(IF((S52&lt;=C52),"NO","YES"))</f>
        <v>YES</v>
      </c>
      <c r="Y52" s="22">
        <f>RANK(U52,U:U,1)</f>
        <v>44</v>
      </c>
      <c r="Z52" s="19"/>
      <c r="AA52" s="20" t="s">
        <v>12</v>
      </c>
      <c r="AB52" s="20"/>
      <c r="AC52" s="20"/>
      <c r="AD52" s="20"/>
      <c r="AE52" s="19"/>
      <c r="AF52" s="19"/>
      <c r="AG52" s="19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</row>
    <row r="53" spans="1:44" ht="12.75" customHeight="1">
      <c r="A53" s="66" t="s">
        <v>67</v>
      </c>
      <c r="B53" s="17">
        <v>20</v>
      </c>
      <c r="C53" s="17">
        <v>15</v>
      </c>
      <c r="D53" s="17">
        <v>30</v>
      </c>
      <c r="E53" s="33">
        <f>B53/D53*30</f>
        <v>20</v>
      </c>
      <c r="F53" s="17">
        <v>0.27</v>
      </c>
      <c r="G53" s="17">
        <v>0.98</v>
      </c>
      <c r="H53" s="17">
        <v>2.5</v>
      </c>
      <c r="I53" s="17">
        <v>2</v>
      </c>
      <c r="J53" s="17" t="s">
        <v>139</v>
      </c>
      <c r="K53" s="39">
        <f>C53/B53</f>
        <v>0.75</v>
      </c>
      <c r="L53" s="35">
        <f>G53/((C53/B53))</f>
        <v>1.3066666666666666</v>
      </c>
      <c r="M53" s="40">
        <f>F53/(C53/B53)</f>
        <v>0.36000000000000004</v>
      </c>
      <c r="N53" s="19">
        <v>0</v>
      </c>
      <c r="O53" s="19">
        <v>0.6</v>
      </c>
      <c r="P53" s="19">
        <v>0.25</v>
      </c>
      <c r="Q53" s="19">
        <v>0.5</v>
      </c>
      <c r="R53" s="50">
        <f>IF((($B$7-($H53+$H$7))&lt;=0),(0+$I$7),(I53*($B$7-(H53+$H$7)))+($I$7))</f>
        <v>95</v>
      </c>
      <c r="S53" s="31">
        <f>((($B$3*F53)+($B$3*$C$3*G53))+(($B$4*N53)+($B$4*$C$4*O53))+(($B$5*P53)+($B$6*Q53)))</f>
        <v>66.091999999999999</v>
      </c>
      <c r="T53" s="43">
        <f>IF(((S53-C53)&lt;0),(B53+R53),(S53-C53+B53+R53))</f>
        <v>166.09199999999998</v>
      </c>
      <c r="U53" s="43">
        <f>IFERROR(T53,9999)</f>
        <v>166.09199999999998</v>
      </c>
      <c r="V53" s="44">
        <f>S53/C53</f>
        <v>4.406133333333333</v>
      </c>
      <c r="W53" s="51">
        <f>IF(((C53-S53)&lt;0),0,C53-S53)</f>
        <v>0</v>
      </c>
      <c r="X53" s="19" t="str">
        <f>(IF((S53&lt;=C53),"NO","YES"))</f>
        <v>YES</v>
      </c>
      <c r="Y53" s="22">
        <f>RANK(U53,U:U,1)</f>
        <v>45</v>
      </c>
      <c r="Z53" s="19"/>
      <c r="AA53" s="20" t="s">
        <v>12</v>
      </c>
      <c r="AB53" s="20"/>
      <c r="AC53" s="20"/>
      <c r="AD53" s="20"/>
      <c r="AE53" s="19"/>
      <c r="AF53" s="19"/>
      <c r="AG53" s="19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</row>
    <row r="54" spans="1:44" ht="12.75" customHeight="1">
      <c r="A54" s="66" t="s">
        <v>120</v>
      </c>
      <c r="B54" s="17">
        <v>69</v>
      </c>
      <c r="C54" s="17">
        <v>650</v>
      </c>
      <c r="D54" s="17">
        <v>30</v>
      </c>
      <c r="E54" s="33">
        <f>B54/D54*30</f>
        <v>69</v>
      </c>
      <c r="F54" s="17">
        <v>0.35</v>
      </c>
      <c r="G54" s="17">
        <v>0.7</v>
      </c>
      <c r="H54" s="17">
        <v>0</v>
      </c>
      <c r="I54" s="17">
        <v>2</v>
      </c>
      <c r="J54" s="17" t="s">
        <v>139</v>
      </c>
      <c r="K54" s="39">
        <f>C54/B54</f>
        <v>9.420289855072463</v>
      </c>
      <c r="L54" s="35">
        <f>G54/((C54/B54))</f>
        <v>7.4307692307692311E-2</v>
      </c>
      <c r="M54" s="40">
        <f>F54/(C54/B54)</f>
        <v>3.7153846153846155E-2</v>
      </c>
      <c r="N54" s="19">
        <v>0.35</v>
      </c>
      <c r="O54" s="17">
        <v>1</v>
      </c>
      <c r="P54" s="19">
        <v>0.25</v>
      </c>
      <c r="Q54" s="19">
        <v>0.75</v>
      </c>
      <c r="R54" s="50">
        <f>IF((($B$7-($H54+$H$7))&lt;=0),(0+$I$7),(I54*($B$7-(H54+$H$7)))+($I$7))</f>
        <v>100</v>
      </c>
      <c r="S54" s="31">
        <f>((($B$3*F54)+($B$3*$C$3*G54))+(($B$4*N54)+($B$4*$C$4*O54))+(($B$5*P54)+($B$6*Q54)))</f>
        <v>63.03</v>
      </c>
      <c r="T54" s="43">
        <f>IF(((S54-C54)&lt;0),(B54+R54),(S54-C54+B54+R54))</f>
        <v>169</v>
      </c>
      <c r="U54" s="43">
        <f>IFERROR(T54,9999)</f>
        <v>169</v>
      </c>
      <c r="V54" s="44">
        <f>S54/C54</f>
        <v>9.6969230769230766E-2</v>
      </c>
      <c r="W54" s="51">
        <f>IF(((C54-S54)&lt;0),0,C54-S54)</f>
        <v>586.97</v>
      </c>
      <c r="X54" s="19" t="str">
        <f>(IF((S54&lt;=C54),"NO","YES"))</f>
        <v>NO</v>
      </c>
      <c r="Y54" s="22">
        <f>RANK(U54,U:U,1)</f>
        <v>46</v>
      </c>
      <c r="Z54" s="19"/>
      <c r="AA54" s="20" t="s">
        <v>16</v>
      </c>
      <c r="AB54" s="19"/>
      <c r="AC54" s="20" t="s">
        <v>32</v>
      </c>
      <c r="AD54" s="21"/>
      <c r="AE54" s="19"/>
      <c r="AF54" s="19">
        <v>350</v>
      </c>
      <c r="AG54" s="19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</row>
    <row r="55" spans="1:44" ht="12.75" customHeight="1">
      <c r="A55" s="66" t="s">
        <v>71</v>
      </c>
      <c r="B55" s="17">
        <v>80</v>
      </c>
      <c r="C55" s="17">
        <v>70</v>
      </c>
      <c r="D55" s="17">
        <v>30</v>
      </c>
      <c r="E55" s="33">
        <f>B55/D55*30</f>
        <v>80</v>
      </c>
      <c r="F55" s="17">
        <v>0.27</v>
      </c>
      <c r="G55" s="17">
        <v>0.56000000000000005</v>
      </c>
      <c r="H55" s="17">
        <v>5</v>
      </c>
      <c r="I55" s="17">
        <v>2</v>
      </c>
      <c r="J55" s="17" t="s">
        <v>139</v>
      </c>
      <c r="K55" s="39">
        <f>C55/B55</f>
        <v>0.875</v>
      </c>
      <c r="L55" s="35">
        <f>G55/((C55/B55))</f>
        <v>0.64</v>
      </c>
      <c r="M55" s="40">
        <f>F55/(C55/B55)</f>
        <v>0.30857142857142861</v>
      </c>
      <c r="N55" s="19">
        <v>0</v>
      </c>
      <c r="O55" s="19">
        <v>0.6</v>
      </c>
      <c r="P55" s="19">
        <v>0.25</v>
      </c>
      <c r="Q55" s="19">
        <v>0.5</v>
      </c>
      <c r="R55" s="50">
        <f>IF((($B$7-($H55+$H$7))&lt;=0),(0+$I$7),(I55*($B$7-(H55+$H$7)))+($I$7))</f>
        <v>90</v>
      </c>
      <c r="S55" s="31">
        <f>((($B$3*F55)+($B$3*$C$3*G55))+(($B$4*N55)+($B$4*$C$4*O55))+(($B$5*P55)+($B$6*Q55)))</f>
        <v>57.524000000000001</v>
      </c>
      <c r="T55" s="43">
        <f>IF(((S55-C55)&lt;0),(B55+R55),(S55-C55+B55+R55))</f>
        <v>170</v>
      </c>
      <c r="U55" s="43">
        <f>IFERROR(T55,9999)</f>
        <v>170</v>
      </c>
      <c r="V55" s="44">
        <f>S55/C55</f>
        <v>0.8217714285714286</v>
      </c>
      <c r="W55" s="51">
        <f>IF(((C55-S55)&lt;0),0,C55-S55)</f>
        <v>12.475999999999999</v>
      </c>
      <c r="X55" s="19" t="str">
        <f>(IF((S55&lt;=C55),"NO","YES"))</f>
        <v>NO</v>
      </c>
      <c r="Y55" s="22">
        <f>RANK(U55,U:U,1)</f>
        <v>47</v>
      </c>
      <c r="Z55" s="19"/>
      <c r="AA55" s="20" t="s">
        <v>12</v>
      </c>
      <c r="AB55" s="20"/>
      <c r="AC55" s="20"/>
      <c r="AD55" s="20"/>
      <c r="AE55" s="19"/>
      <c r="AF55" s="19"/>
      <c r="AG55" s="19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</row>
    <row r="56" spans="1:44" ht="12.75" customHeight="1">
      <c r="A56" s="66" t="s">
        <v>64</v>
      </c>
      <c r="B56" s="17">
        <v>79</v>
      </c>
      <c r="C56" s="17">
        <v>450</v>
      </c>
      <c r="D56" s="17">
        <v>30</v>
      </c>
      <c r="E56" s="33">
        <f>B56/D56*30</f>
        <v>79</v>
      </c>
      <c r="F56" s="17">
        <v>0.37</v>
      </c>
      <c r="G56" s="17">
        <v>0.7</v>
      </c>
      <c r="H56" s="17">
        <v>0</v>
      </c>
      <c r="I56" s="17">
        <v>2</v>
      </c>
      <c r="J56" s="17" t="s">
        <v>139</v>
      </c>
      <c r="K56" s="39">
        <f>C56/B56</f>
        <v>5.6962025316455698</v>
      </c>
      <c r="L56" s="35">
        <f>G56/((C56/B56))</f>
        <v>0.12288888888888888</v>
      </c>
      <c r="M56" s="40">
        <f>F56/(C56/B56)</f>
        <v>6.4955555555555558E-2</v>
      </c>
      <c r="N56" s="19">
        <v>0</v>
      </c>
      <c r="O56" s="19">
        <v>0.6</v>
      </c>
      <c r="P56" s="19">
        <v>0.25</v>
      </c>
      <c r="Q56" s="19">
        <v>0.5</v>
      </c>
      <c r="R56" s="50">
        <f>IF((($B$7-($H56+$H$7))&lt;=0),(0+$I$7),(I56*($B$7-(H56+$H$7)))+($I$7))</f>
        <v>100</v>
      </c>
      <c r="S56" s="31">
        <f>((($B$3*F56)+($B$3*$C$3*G56))+(($B$4*N56)+($B$4*$C$4*O56))+(($B$5*P56)+($B$6*Q56)))</f>
        <v>63.38</v>
      </c>
      <c r="T56" s="43">
        <f>IF(((S56-C56)&lt;0),(B56+R56),(S56-C56+B56+R56))</f>
        <v>179</v>
      </c>
      <c r="U56" s="43">
        <f>IFERROR(T56,9999)</f>
        <v>179</v>
      </c>
      <c r="V56" s="44">
        <f>S56/C56</f>
        <v>0.14084444444444444</v>
      </c>
      <c r="W56" s="51">
        <f>IF(((C56-S56)&lt;0),0,C56-S56)</f>
        <v>386.62</v>
      </c>
      <c r="X56" s="19" t="str">
        <f>(IF((S56&lt;=C56),"NO","YES"))</f>
        <v>NO</v>
      </c>
      <c r="Y56" s="22">
        <f>RANK(U56,U:U,1)</f>
        <v>48</v>
      </c>
      <c r="Z56" s="19"/>
      <c r="AA56" s="20" t="s">
        <v>12</v>
      </c>
      <c r="AB56" s="20" t="s">
        <v>25</v>
      </c>
      <c r="AC56" s="20" t="s">
        <v>26</v>
      </c>
      <c r="AD56" s="20" t="s">
        <v>27</v>
      </c>
      <c r="AE56" s="19"/>
      <c r="AF56" s="19">
        <v>100</v>
      </c>
      <c r="AG56" s="19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</row>
    <row r="57" spans="1:44" ht="12.75" customHeight="1">
      <c r="A57" s="66" t="s">
        <v>82</v>
      </c>
      <c r="B57" s="17">
        <v>79.900000000000006</v>
      </c>
      <c r="C57" s="17">
        <v>600</v>
      </c>
      <c r="D57" s="17">
        <v>30</v>
      </c>
      <c r="E57" s="33">
        <f>B57/D57*30</f>
        <v>79.900000000000006</v>
      </c>
      <c r="F57" s="17">
        <v>0.45</v>
      </c>
      <c r="G57" s="17">
        <v>0.75</v>
      </c>
      <c r="H57" s="17">
        <v>0</v>
      </c>
      <c r="I57" s="17">
        <v>2</v>
      </c>
      <c r="J57" s="17" t="s">
        <v>139</v>
      </c>
      <c r="K57" s="39">
        <f>C57/B57</f>
        <v>7.5093867334167701</v>
      </c>
      <c r="L57" s="35">
        <f>G57/((C57/B57))</f>
        <v>9.9875000000000005E-2</v>
      </c>
      <c r="M57" s="40">
        <f>F57/(C57/B57)</f>
        <v>5.9925000000000006E-2</v>
      </c>
      <c r="N57" s="19">
        <v>0</v>
      </c>
      <c r="O57" s="19">
        <v>0.78</v>
      </c>
      <c r="P57" s="19">
        <v>0.25</v>
      </c>
      <c r="Q57" s="19">
        <v>0.5</v>
      </c>
      <c r="R57" s="50">
        <f>IF((($B$7-($H57+$H$7))&lt;=0),(0+$I$7),(I57*($B$7-(H57+$H$7)))+($I$7))</f>
        <v>100</v>
      </c>
      <c r="S57" s="31">
        <f>((($B$3*F57)+($B$3*$C$3*G57))+(($B$4*N57)+($B$4*$C$4*O57))+(($B$5*P57)+($B$6*Q57)))</f>
        <v>66.8</v>
      </c>
      <c r="T57" s="43">
        <f>IF(((S57-C57)&lt;0),(B57+R57),(S57-C57+B57+R57))</f>
        <v>179.9</v>
      </c>
      <c r="U57" s="43">
        <f>IFERROR(T57,9999)</f>
        <v>179.9</v>
      </c>
      <c r="V57" s="44">
        <f>S57/C57</f>
        <v>0.11133333333333333</v>
      </c>
      <c r="W57" s="51">
        <f>IF(((C57-S57)&lt;0),0,C57-S57)</f>
        <v>533.20000000000005</v>
      </c>
      <c r="X57" s="19" t="str">
        <f>(IF((S57&lt;=C57),"NO","YES"))</f>
        <v>NO</v>
      </c>
      <c r="Y57" s="22">
        <f>RANK(U57,U:U,1)</f>
        <v>49</v>
      </c>
      <c r="Z57" s="19"/>
      <c r="AA57" s="20" t="s">
        <v>14</v>
      </c>
      <c r="AB57" s="19"/>
      <c r="AC57" s="20" t="s">
        <v>26</v>
      </c>
      <c r="AD57" s="20" t="s">
        <v>25</v>
      </c>
      <c r="AE57" s="19"/>
      <c r="AF57" s="20" t="s">
        <v>36</v>
      </c>
      <c r="AG57" s="20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</row>
    <row r="58" spans="1:44" ht="12.75" customHeight="1">
      <c r="A58" s="66" t="s">
        <v>130</v>
      </c>
      <c r="B58" s="17">
        <v>79</v>
      </c>
      <c r="C58" s="17">
        <v>680</v>
      </c>
      <c r="D58" s="17">
        <v>30</v>
      </c>
      <c r="E58" s="33">
        <f>B58/D58*30</f>
        <v>79</v>
      </c>
      <c r="F58" s="18">
        <v>0.35</v>
      </c>
      <c r="G58" s="17">
        <v>0.8</v>
      </c>
      <c r="H58" s="67">
        <v>0</v>
      </c>
      <c r="I58" s="67">
        <v>2.0499999999999998</v>
      </c>
      <c r="J58" s="17" t="s">
        <v>139</v>
      </c>
      <c r="K58" s="39">
        <f>C58/B58</f>
        <v>8.6075949367088604</v>
      </c>
      <c r="L58" s="35">
        <f>G58/((C58/B58))</f>
        <v>9.2941176470588249E-2</v>
      </c>
      <c r="M58" s="40">
        <f>F58/(C58/B58)</f>
        <v>4.0661764705882349E-2</v>
      </c>
      <c r="N58" s="18">
        <v>0.35</v>
      </c>
      <c r="O58" s="17">
        <v>0.8</v>
      </c>
      <c r="P58" s="19">
        <v>0.25</v>
      </c>
      <c r="Q58" s="19">
        <v>0.75</v>
      </c>
      <c r="R58" s="50">
        <f>IF((($B$7-($H58+$H$7))&lt;=0),(0+$I$7),(I58*($B$7-(H58+$H$7)))+($I$7))</f>
        <v>102.49999999999999</v>
      </c>
      <c r="S58" s="31">
        <f>((($B$3*F58)+($B$3*$C$3*G58))+(($B$4*N58)+($B$4*$C$4*O58))+(($B$5*P58)+($B$6*Q58)))</f>
        <v>65.070000000000007</v>
      </c>
      <c r="T58" s="43">
        <f>IF(((S58-C58)&lt;0),(B58+R58),(S58-C58+B58+R58))</f>
        <v>181.5</v>
      </c>
      <c r="U58" s="43">
        <f>IFERROR(T58,9999)</f>
        <v>181.5</v>
      </c>
      <c r="V58" s="44">
        <f>S58/C58</f>
        <v>9.5691176470588252E-2</v>
      </c>
      <c r="W58" s="51">
        <f>IF(((C58-S58)&lt;0),0,C58-S58)</f>
        <v>614.92999999999995</v>
      </c>
      <c r="X58" s="19" t="str">
        <f>(IF((S58&lt;=C58),"NO","YES"))</f>
        <v>NO</v>
      </c>
      <c r="Y58" s="22">
        <f>RANK(U58,U:U,1)</f>
        <v>50</v>
      </c>
      <c r="Z58" s="19"/>
      <c r="AA58" s="19" t="s">
        <v>132</v>
      </c>
      <c r="AB58" s="20"/>
      <c r="AC58" s="20" t="s">
        <v>26</v>
      </c>
      <c r="AD58" s="20" t="s">
        <v>27</v>
      </c>
      <c r="AE58" s="19"/>
      <c r="AF58" s="19"/>
      <c r="AG58" s="19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</row>
    <row r="59" spans="1:44" ht="12.75" customHeight="1">
      <c r="A59" s="66" t="s">
        <v>72</v>
      </c>
      <c r="B59" s="17">
        <v>100</v>
      </c>
      <c r="C59" s="17">
        <v>90</v>
      </c>
      <c r="D59" s="17">
        <v>30</v>
      </c>
      <c r="E59" s="33">
        <f>B59/D59*30</f>
        <v>100</v>
      </c>
      <c r="F59" s="17">
        <v>0.27</v>
      </c>
      <c r="G59" s="17">
        <v>0.44</v>
      </c>
      <c r="H59" s="17">
        <v>5</v>
      </c>
      <c r="I59" s="17">
        <v>2</v>
      </c>
      <c r="J59" s="17" t="s">
        <v>139</v>
      </c>
      <c r="K59" s="39">
        <f>C59/B59</f>
        <v>0.9</v>
      </c>
      <c r="L59" s="35">
        <f>G59/((C59/B59))</f>
        <v>0.48888888888888887</v>
      </c>
      <c r="M59" s="40">
        <f>F59/(C59/B59)</f>
        <v>0.3</v>
      </c>
      <c r="N59" s="19">
        <v>0</v>
      </c>
      <c r="O59" s="19">
        <v>0.6</v>
      </c>
      <c r="P59" s="19">
        <v>0.25</v>
      </c>
      <c r="Q59" s="19">
        <v>0.5</v>
      </c>
      <c r="R59" s="50">
        <f>IF((($B$7-($H59+$H$7))&lt;=0),(0+$I$7),(I59*($B$7-(H59+$H$7)))+($I$7))</f>
        <v>90</v>
      </c>
      <c r="S59" s="31">
        <f>((($B$3*F59)+($B$3*$C$3*G59))+(($B$4*N59)+($B$4*$C$4*O59))+(($B$5*P59)+($B$6*Q59)))</f>
        <v>55.076000000000001</v>
      </c>
      <c r="T59" s="43">
        <f>IF(((S59-C59)&lt;0),(B59+R59),(S59-C59+B59+R59))</f>
        <v>190</v>
      </c>
      <c r="U59" s="43">
        <f>IFERROR(T59,9999)</f>
        <v>190</v>
      </c>
      <c r="V59" s="44">
        <f>S59/C59</f>
        <v>0.61195555555555559</v>
      </c>
      <c r="W59" s="51">
        <f>IF(((C59-S59)&lt;0),0,C59-S59)</f>
        <v>34.923999999999999</v>
      </c>
      <c r="X59" s="19" t="str">
        <f>(IF((S59&lt;=C59),"NO","YES"))</f>
        <v>NO</v>
      </c>
      <c r="Y59" s="22">
        <f>RANK(U59,U:U,1)</f>
        <v>51</v>
      </c>
      <c r="Z59" s="19"/>
      <c r="AA59" s="20" t="s">
        <v>12</v>
      </c>
      <c r="AB59" s="20"/>
      <c r="AC59" s="20"/>
      <c r="AD59" s="20"/>
      <c r="AE59" s="19"/>
      <c r="AF59" s="19"/>
      <c r="AG59" s="19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</row>
    <row r="60" spans="1:44" ht="12.75" customHeight="1">
      <c r="A60" s="66" t="s">
        <v>65</v>
      </c>
      <c r="B60" s="17">
        <v>99</v>
      </c>
      <c r="C60" s="17">
        <v>550</v>
      </c>
      <c r="D60" s="17">
        <v>30</v>
      </c>
      <c r="E60" s="33">
        <f>B60/D60*30</f>
        <v>99</v>
      </c>
      <c r="F60" s="17">
        <v>0.27</v>
      </c>
      <c r="G60" s="17">
        <v>0.7</v>
      </c>
      <c r="H60" s="17">
        <v>0</v>
      </c>
      <c r="I60" s="17">
        <v>2</v>
      </c>
      <c r="J60" s="17" t="s">
        <v>139</v>
      </c>
      <c r="K60" s="39">
        <f>C60/B60</f>
        <v>5.5555555555555554</v>
      </c>
      <c r="L60" s="35">
        <f>G60/((C60/B60))</f>
        <v>0.126</v>
      </c>
      <c r="M60" s="40">
        <f>F60/(C60/B60)</f>
        <v>4.8600000000000004E-2</v>
      </c>
      <c r="N60" s="19">
        <v>0</v>
      </c>
      <c r="O60" s="19">
        <v>0.6</v>
      </c>
      <c r="P60" s="19">
        <v>0.25</v>
      </c>
      <c r="Q60" s="19">
        <v>0.5</v>
      </c>
      <c r="R60" s="50">
        <f>IF((($B$7-($H60+$H$7))&lt;=0),(0+$I$7),(I60*($B$7-(H60+$H$7)))+($I$7))</f>
        <v>100</v>
      </c>
      <c r="S60" s="31">
        <f>((($B$3*F60)+($B$3*$C$3*G60))+(($B$4*N60)+($B$4*$C$4*O60))+(($B$5*P60)+($B$6*Q60)))</f>
        <v>60.38</v>
      </c>
      <c r="T60" s="43">
        <f>IF(((S60-C60)&lt;0),(B60+R60),(S60-C60+B60+R60))</f>
        <v>199</v>
      </c>
      <c r="U60" s="43">
        <f>IFERROR(T60,9999)</f>
        <v>199</v>
      </c>
      <c r="V60" s="44">
        <f>S60/C60</f>
        <v>0.10978181818181819</v>
      </c>
      <c r="W60" s="51">
        <f>IF(((C60-S60)&lt;0),0,C60-S60)</f>
        <v>489.62</v>
      </c>
      <c r="X60" s="19" t="str">
        <f>(IF((S60&lt;=C60),"NO","YES"))</f>
        <v>NO</v>
      </c>
      <c r="Y60" s="22">
        <f>RANK(U60,U:U,1)</f>
        <v>52</v>
      </c>
      <c r="Z60" s="19"/>
      <c r="AA60" s="20" t="s">
        <v>12</v>
      </c>
      <c r="AB60" s="20" t="s">
        <v>25</v>
      </c>
      <c r="AC60" s="20" t="s">
        <v>26</v>
      </c>
      <c r="AD60" s="20" t="s">
        <v>27</v>
      </c>
      <c r="AE60" s="19"/>
      <c r="AF60" s="19">
        <v>150</v>
      </c>
      <c r="AG60" s="19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</row>
    <row r="61" spans="1:44" ht="12.75" customHeight="1">
      <c r="A61" s="66" t="s">
        <v>121</v>
      </c>
      <c r="B61" s="17">
        <v>99</v>
      </c>
      <c r="C61" s="17">
        <v>1000</v>
      </c>
      <c r="D61" s="17">
        <v>30</v>
      </c>
      <c r="E61" s="33">
        <f>B61/D61*30</f>
        <v>99</v>
      </c>
      <c r="F61" s="17">
        <v>0.35</v>
      </c>
      <c r="G61" s="17">
        <v>0.7</v>
      </c>
      <c r="H61" s="17">
        <v>0</v>
      </c>
      <c r="I61" s="17">
        <v>2</v>
      </c>
      <c r="J61" s="17" t="s">
        <v>139</v>
      </c>
      <c r="K61" s="39">
        <f>C61/B61</f>
        <v>10.1010101010101</v>
      </c>
      <c r="L61" s="35">
        <f>G61/((C61/B61))</f>
        <v>6.93E-2</v>
      </c>
      <c r="M61" s="40">
        <f>F61/(C61/B61)</f>
        <v>3.465E-2</v>
      </c>
      <c r="N61" s="19">
        <v>0.35</v>
      </c>
      <c r="O61" s="17">
        <v>1</v>
      </c>
      <c r="P61" s="19">
        <v>0.25</v>
      </c>
      <c r="Q61" s="19">
        <v>0.75</v>
      </c>
      <c r="R61" s="50">
        <f>IF((($B$7-($H61+$H$7))&lt;=0),(0+$I$7),(I61*($B$7-(H61+$H$7)))+($I$7))</f>
        <v>100</v>
      </c>
      <c r="S61" s="31">
        <f>((($B$3*F61)+($B$3*$C$3*G61))+(($B$4*N61)+($B$4*$C$4*O61))+(($B$5*P61)+($B$6*Q61)))</f>
        <v>63.03</v>
      </c>
      <c r="T61" s="43">
        <f>IF(((S61-C61)&lt;0),(B61+R61),(S61-C61+B61+R61))</f>
        <v>199</v>
      </c>
      <c r="U61" s="43">
        <f>IFERROR(T61,9999)</f>
        <v>199</v>
      </c>
      <c r="V61" s="44">
        <f>S61/C61</f>
        <v>6.3030000000000003E-2</v>
      </c>
      <c r="W61" s="51">
        <f>IF(((C61-S61)&lt;0),0,C61-S61)</f>
        <v>936.97</v>
      </c>
      <c r="X61" s="19" t="str">
        <f>(IF((S61&lt;=C61),"NO","YES"))</f>
        <v>NO</v>
      </c>
      <c r="Y61" s="22">
        <f>RANK(U61,U:U,1)</f>
        <v>52</v>
      </c>
      <c r="Z61" s="19"/>
      <c r="AA61" s="20" t="s">
        <v>16</v>
      </c>
      <c r="AB61" s="19"/>
      <c r="AC61" s="20" t="s">
        <v>32</v>
      </c>
      <c r="AD61" s="21"/>
      <c r="AE61" s="19"/>
      <c r="AF61" s="19">
        <v>1750</v>
      </c>
      <c r="AG61" s="19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</row>
    <row r="62" spans="1:44" ht="12.75" customHeight="1">
      <c r="A62" s="66" t="s">
        <v>131</v>
      </c>
      <c r="B62" s="17">
        <v>99</v>
      </c>
      <c r="C62" s="17">
        <v>1000</v>
      </c>
      <c r="D62" s="17">
        <v>30</v>
      </c>
      <c r="E62" s="33">
        <f>B62/D62*30</f>
        <v>99</v>
      </c>
      <c r="F62" s="18">
        <v>0.35</v>
      </c>
      <c r="G62" s="17">
        <v>0.7</v>
      </c>
      <c r="H62" s="67">
        <v>0</v>
      </c>
      <c r="I62" s="67">
        <v>2.0499999999999998</v>
      </c>
      <c r="J62" s="17" t="s">
        <v>139</v>
      </c>
      <c r="K62" s="39">
        <f>C62/B62</f>
        <v>10.1010101010101</v>
      </c>
      <c r="L62" s="35">
        <f>G62/((C62/B62))</f>
        <v>6.93E-2</v>
      </c>
      <c r="M62" s="40">
        <f>F62/(C62/B62)</f>
        <v>3.465E-2</v>
      </c>
      <c r="N62" s="18">
        <v>0.35</v>
      </c>
      <c r="O62" s="17">
        <v>0.8</v>
      </c>
      <c r="P62" s="19">
        <v>0.25</v>
      </c>
      <c r="Q62" s="19">
        <v>0.75</v>
      </c>
      <c r="R62" s="50">
        <f>IF((($B$7-($H62+$H$7))&lt;=0),(0+$I$7),(I62*($B$7-(H62+$H$7)))+($I$7))</f>
        <v>102.49999999999999</v>
      </c>
      <c r="S62" s="31">
        <f>((($B$3*F62)+($B$3*$C$3*G62))+(($B$4*N62)+($B$4*$C$4*O62))+(($B$5*P62)+($B$6*Q62)))</f>
        <v>63.03</v>
      </c>
      <c r="T62" s="43">
        <f>IF(((S62-C62)&lt;0),(B62+R62),(S62-C62+B62+R62))</f>
        <v>201.5</v>
      </c>
      <c r="U62" s="43">
        <f>IFERROR(T62,9999)</f>
        <v>201.5</v>
      </c>
      <c r="V62" s="44">
        <f>S62/C62</f>
        <v>6.3030000000000003E-2</v>
      </c>
      <c r="W62" s="51">
        <f>IF(((C62-S62)&lt;0),0,C62-S62)</f>
        <v>936.97</v>
      </c>
      <c r="X62" s="19" t="str">
        <f>(IF((S62&lt;=C62),"NO","YES"))</f>
        <v>NO</v>
      </c>
      <c r="Y62" s="22">
        <f>RANK(U62,U:U,1)</f>
        <v>54</v>
      </c>
      <c r="Z62" s="19"/>
      <c r="AA62" s="19" t="s">
        <v>132</v>
      </c>
      <c r="AB62" s="20"/>
      <c r="AC62" s="20" t="s">
        <v>26</v>
      </c>
      <c r="AD62" s="20" t="s">
        <v>27</v>
      </c>
      <c r="AE62" s="19"/>
      <c r="AF62" s="19"/>
      <c r="AG62" s="19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</row>
    <row r="63" spans="1:44" ht="12.75" customHeight="1">
      <c r="A63" s="66" t="s">
        <v>66</v>
      </c>
      <c r="B63" s="17">
        <v>129</v>
      </c>
      <c r="C63" s="17">
        <v>700</v>
      </c>
      <c r="D63" s="17">
        <v>30</v>
      </c>
      <c r="E63" s="33">
        <f>B63/D63*30</f>
        <v>129</v>
      </c>
      <c r="F63" s="17">
        <v>0.27</v>
      </c>
      <c r="G63" s="17">
        <v>0.6</v>
      </c>
      <c r="H63" s="17">
        <v>0</v>
      </c>
      <c r="I63" s="17">
        <v>2</v>
      </c>
      <c r="J63" s="17" t="s">
        <v>139</v>
      </c>
      <c r="K63" s="39">
        <f>C63/B63</f>
        <v>5.4263565891472867</v>
      </c>
      <c r="L63" s="35">
        <f>G63/((C63/B63))</f>
        <v>0.11057142857142857</v>
      </c>
      <c r="M63" s="40">
        <f>F63/(C63/B63)</f>
        <v>4.9757142857142861E-2</v>
      </c>
      <c r="N63" s="19">
        <v>0</v>
      </c>
      <c r="O63" s="19">
        <v>0.6</v>
      </c>
      <c r="P63" s="19">
        <v>0.25</v>
      </c>
      <c r="Q63" s="19">
        <v>0.5</v>
      </c>
      <c r="R63" s="50">
        <f>IF((($B$7-($H63+$H$7))&lt;=0),(0+$I$7),(I63*($B$7-(H63+$H$7)))+($I$7))</f>
        <v>100</v>
      </c>
      <c r="S63" s="31">
        <f>((($B$3*F63)+($B$3*$C$3*G63))+(($B$4*N63)+($B$4*$C$4*O63))+(($B$5*P63)+($B$6*Q63)))</f>
        <v>58.34</v>
      </c>
      <c r="T63" s="43">
        <f>IF(((S63-C63)&lt;0),(B63+R63),(S63-C63+B63+R63))</f>
        <v>229</v>
      </c>
      <c r="U63" s="43">
        <f>IFERROR(T63,9999)</f>
        <v>229</v>
      </c>
      <c r="V63" s="44">
        <f>S63/C63</f>
        <v>8.3342857142857149E-2</v>
      </c>
      <c r="W63" s="51">
        <f>IF(((C63-S63)&lt;0),0,C63-S63)</f>
        <v>641.66</v>
      </c>
      <c r="X63" s="19" t="str">
        <f>(IF((S63&lt;=C63),"NO","YES"))</f>
        <v>NO</v>
      </c>
      <c r="Y63" s="22">
        <f>RANK(U63,U:U,1)</f>
        <v>55</v>
      </c>
      <c r="Z63" s="19"/>
      <c r="AA63" s="20" t="s">
        <v>12</v>
      </c>
      <c r="AB63" s="20" t="s">
        <v>25</v>
      </c>
      <c r="AC63" s="20" t="s">
        <v>26</v>
      </c>
      <c r="AD63" s="20" t="s">
        <v>27</v>
      </c>
      <c r="AE63" s="19"/>
      <c r="AF63" s="19">
        <v>200</v>
      </c>
      <c r="AG63" s="19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</row>
    <row r="64" spans="1:44" ht="12.75" customHeight="1">
      <c r="A64" s="66" t="s">
        <v>122</v>
      </c>
      <c r="B64" s="17">
        <v>129</v>
      </c>
      <c r="C64" s="17">
        <v>1200</v>
      </c>
      <c r="D64" s="17">
        <v>30</v>
      </c>
      <c r="E64" s="33">
        <f>B64/D64*30</f>
        <v>129</v>
      </c>
      <c r="F64" s="17">
        <v>0.35</v>
      </c>
      <c r="G64" s="17">
        <v>0.7</v>
      </c>
      <c r="H64" s="17">
        <v>0</v>
      </c>
      <c r="I64" s="17">
        <v>2</v>
      </c>
      <c r="J64" s="17" t="s">
        <v>139</v>
      </c>
      <c r="K64" s="39">
        <f>C64/B64</f>
        <v>9.3023255813953494</v>
      </c>
      <c r="L64" s="35">
        <f>G64/((C64/B64))</f>
        <v>7.5249999999999997E-2</v>
      </c>
      <c r="M64" s="40">
        <f>F64/(C64/B64)</f>
        <v>3.7624999999999999E-2</v>
      </c>
      <c r="N64" s="19">
        <v>0.35</v>
      </c>
      <c r="O64" s="17">
        <v>1</v>
      </c>
      <c r="P64" s="19">
        <v>0.25</v>
      </c>
      <c r="Q64" s="19">
        <v>0.75</v>
      </c>
      <c r="R64" s="50">
        <f>IF((($B$7-($H64+$H$7))&lt;=0),(0+$I$7),(I64*($B$7-(H64+$H$7)))+($I$7))</f>
        <v>100</v>
      </c>
      <c r="S64" s="31">
        <f>((($B$3*F64)+($B$3*$C$3*G64))+(($B$4*N64)+($B$4*$C$4*O64))+(($B$5*P64)+($B$6*Q64)))</f>
        <v>63.03</v>
      </c>
      <c r="T64" s="43">
        <f>IF(((S64-C64)&lt;0),(B64+R64),(S64-C64+B64+R64))</f>
        <v>229</v>
      </c>
      <c r="U64" s="43">
        <f>IFERROR(T64,9999)</f>
        <v>229</v>
      </c>
      <c r="V64" s="44">
        <f>S64/C64</f>
        <v>5.2525000000000002E-2</v>
      </c>
      <c r="W64" s="51">
        <f>IF(((C64-S64)&lt;0),0,C64-S64)</f>
        <v>1136.97</v>
      </c>
      <c r="X64" s="19" t="str">
        <f>(IF((S64&lt;=C64),"NO","YES"))</f>
        <v>NO</v>
      </c>
      <c r="Y64" s="22">
        <f>RANK(U64,U:U,1)</f>
        <v>55</v>
      </c>
      <c r="Z64" s="19"/>
      <c r="AA64" s="20" t="s">
        <v>16</v>
      </c>
      <c r="AB64" s="19"/>
      <c r="AC64" s="20" t="s">
        <v>32</v>
      </c>
      <c r="AD64" s="21"/>
      <c r="AE64" s="19"/>
      <c r="AF64" s="19">
        <v>1750</v>
      </c>
      <c r="AG64" s="19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</row>
    <row r="65" spans="1:44" ht="12.75" customHeight="1">
      <c r="A65" s="66" t="s">
        <v>105</v>
      </c>
      <c r="B65" s="17">
        <v>29</v>
      </c>
      <c r="C65" s="17">
        <v>150</v>
      </c>
      <c r="D65" s="17">
        <v>30</v>
      </c>
      <c r="E65" s="33">
        <f>B65/D65*30</f>
        <v>29</v>
      </c>
      <c r="F65" s="17">
        <v>0.35</v>
      </c>
      <c r="G65" s="17">
        <v>0.84</v>
      </c>
      <c r="H65" s="17">
        <v>0</v>
      </c>
      <c r="I65" s="17">
        <v>4</v>
      </c>
      <c r="J65" s="17" t="s">
        <v>139</v>
      </c>
      <c r="K65" s="39">
        <f>C65/B65</f>
        <v>5.1724137931034484</v>
      </c>
      <c r="L65" s="35">
        <f>G65/((C65/B65))</f>
        <v>0.16239999999999999</v>
      </c>
      <c r="M65" s="40">
        <f>F65/(C65/B65)</f>
        <v>6.7666666666666667E-2</v>
      </c>
      <c r="N65" s="19">
        <v>0.28999999999999998</v>
      </c>
      <c r="O65" s="19">
        <v>0.78</v>
      </c>
      <c r="P65" s="19">
        <v>0.25</v>
      </c>
      <c r="Q65" s="19">
        <v>0.5</v>
      </c>
      <c r="R65" s="50">
        <f>IF((($B$7-($H65+$H$7))&lt;=0),(0+$I$7),(I65*($B$7-(H65+$H$7)))+($I$7))</f>
        <v>200</v>
      </c>
      <c r="S65" s="31">
        <f>((($B$3*F65)+($B$3*$C$3*G65))+(($B$4*N65)+($B$4*$C$4*O65))+(($B$5*P65)+($B$6*Q65)))</f>
        <v>65.635999999999996</v>
      </c>
      <c r="T65" s="43">
        <f>IF(((S65-C65)&lt;0),(B65+R65),(S65-C65+B65+R65))</f>
        <v>229</v>
      </c>
      <c r="U65" s="43">
        <f>IFERROR(T65,9999)</f>
        <v>229</v>
      </c>
      <c r="V65" s="44">
        <f>S65/C65</f>
        <v>0.43757333333333331</v>
      </c>
      <c r="W65" s="51">
        <f>IF(((C65-S65)&lt;0),0,C65-S65)</f>
        <v>84.364000000000004</v>
      </c>
      <c r="X65" s="19" t="str">
        <f>(IF((S65&lt;=C65),"NO","YES"))</f>
        <v>NO</v>
      </c>
      <c r="Y65" s="22">
        <f>RANK(U65,U:U,1)</f>
        <v>55</v>
      </c>
      <c r="Z65" s="19"/>
      <c r="AA65" s="20" t="s">
        <v>15</v>
      </c>
      <c r="AB65" s="19"/>
      <c r="AC65" s="20" t="s">
        <v>26</v>
      </c>
      <c r="AD65" s="20" t="s">
        <v>27</v>
      </c>
      <c r="AE65" s="19"/>
      <c r="AF65" s="19"/>
      <c r="AG65" s="19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</row>
    <row r="66" spans="1:44" ht="12.75" customHeight="1">
      <c r="A66" s="66" t="s">
        <v>73</v>
      </c>
      <c r="B66" s="17">
        <v>150</v>
      </c>
      <c r="C66" s="17">
        <v>135</v>
      </c>
      <c r="D66" s="17">
        <v>30</v>
      </c>
      <c r="E66" s="33">
        <f>B66/D66*30</f>
        <v>150</v>
      </c>
      <c r="F66" s="17">
        <v>0.27</v>
      </c>
      <c r="G66" s="17">
        <v>0.4</v>
      </c>
      <c r="H66" s="17">
        <v>7.5</v>
      </c>
      <c r="I66" s="17">
        <v>2</v>
      </c>
      <c r="J66" s="17" t="s">
        <v>139</v>
      </c>
      <c r="K66" s="39">
        <f>C66/B66</f>
        <v>0.9</v>
      </c>
      <c r="L66" s="35">
        <f>G66/((C66/B66))</f>
        <v>0.44444444444444448</v>
      </c>
      <c r="M66" s="40">
        <f>F66/(C66/B66)</f>
        <v>0.3</v>
      </c>
      <c r="N66" s="19">
        <v>0</v>
      </c>
      <c r="O66" s="19">
        <v>0.6</v>
      </c>
      <c r="P66" s="19">
        <v>0.25</v>
      </c>
      <c r="Q66" s="19">
        <v>0.5</v>
      </c>
      <c r="R66" s="50">
        <f>IF((($B$7-($H66+$H$7))&lt;=0),(0+$I$7),(I66*($B$7-(H66+$H$7)))+($I$7))</f>
        <v>85</v>
      </c>
      <c r="S66" s="31">
        <f>((($B$3*F66)+($B$3*$C$3*G66))+(($B$4*N66)+($B$4*$C$4*O66))+(($B$5*P66)+($B$6*Q66)))</f>
        <v>54.260000000000005</v>
      </c>
      <c r="T66" s="43">
        <f>IF(((S66-C66)&lt;0),(B66+R66),(S66-C66+B66+R66))</f>
        <v>235</v>
      </c>
      <c r="U66" s="43">
        <f>IFERROR(T66,9999)</f>
        <v>235</v>
      </c>
      <c r="V66" s="44">
        <f>S66/C66</f>
        <v>0.40192592592592596</v>
      </c>
      <c r="W66" s="51">
        <f>IF(((C66-S66)&lt;0),0,C66-S66)</f>
        <v>80.739999999999995</v>
      </c>
      <c r="X66" s="19" t="str">
        <f>(IF((S66&lt;=C66),"NO","YES"))</f>
        <v>NO</v>
      </c>
      <c r="Y66" s="22">
        <f>RANK(U66,U:U,1)</f>
        <v>58</v>
      </c>
      <c r="Z66" s="19"/>
      <c r="AA66" s="20" t="s">
        <v>12</v>
      </c>
      <c r="AB66" s="20"/>
      <c r="AC66" s="20"/>
      <c r="AD66" s="20"/>
      <c r="AE66" s="19"/>
      <c r="AF66" s="19"/>
      <c r="AG66" s="19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</row>
    <row r="67" spans="1:44" ht="12.75" customHeight="1">
      <c r="A67" s="66" t="s">
        <v>123</v>
      </c>
      <c r="B67" s="17">
        <v>149</v>
      </c>
      <c r="C67" s="17">
        <v>1600</v>
      </c>
      <c r="D67" s="17">
        <v>30</v>
      </c>
      <c r="E67" s="33">
        <f>B67/D67*30</f>
        <v>149</v>
      </c>
      <c r="F67" s="17">
        <v>0.35</v>
      </c>
      <c r="G67" s="17">
        <v>0.7</v>
      </c>
      <c r="H67" s="17">
        <v>0</v>
      </c>
      <c r="I67" s="17">
        <v>2</v>
      </c>
      <c r="J67" s="17" t="s">
        <v>139</v>
      </c>
      <c r="K67" s="39">
        <f>C67/B67</f>
        <v>10.738255033557047</v>
      </c>
      <c r="L67" s="35">
        <f>G67/((C67/B67))</f>
        <v>6.5187499999999995E-2</v>
      </c>
      <c r="M67" s="40">
        <f>F67/(C67/B67)</f>
        <v>3.2593749999999998E-2</v>
      </c>
      <c r="N67" s="19">
        <v>0.35</v>
      </c>
      <c r="O67" s="17">
        <v>1</v>
      </c>
      <c r="P67" s="19">
        <v>0.25</v>
      </c>
      <c r="Q67" s="19">
        <v>0.75</v>
      </c>
      <c r="R67" s="50">
        <f>IF((($B$7-($H67+$H$7))&lt;=0),(0+$I$7),(I67*($B$7-(H67+$H$7)))+($I$7))</f>
        <v>100</v>
      </c>
      <c r="S67" s="31">
        <f>((($B$3*F67)+($B$3*$C$3*G67))+(($B$4*N67)+($B$4*$C$4*O67))+(($B$5*P67)+($B$6*Q67)))</f>
        <v>63.03</v>
      </c>
      <c r="T67" s="43">
        <f>IF(((S67-C67)&lt;0),(B67+R67),(S67-C67+B67+R67))</f>
        <v>249</v>
      </c>
      <c r="U67" s="43">
        <f>IFERROR(T67,9999)</f>
        <v>249</v>
      </c>
      <c r="V67" s="44">
        <f>S67/C67</f>
        <v>3.9393749999999998E-2</v>
      </c>
      <c r="W67" s="51">
        <f>IF(((C67-S67)&lt;0),0,C67-S67)</f>
        <v>1536.97</v>
      </c>
      <c r="X67" s="19" t="str">
        <f>(IF((S67&lt;=C67),"NO","YES"))</f>
        <v>NO</v>
      </c>
      <c r="Y67" s="22">
        <f>RANK(U67,U:U,1)</f>
        <v>59</v>
      </c>
      <c r="Z67" s="19"/>
      <c r="AA67" s="20" t="s">
        <v>16</v>
      </c>
      <c r="AB67" s="19"/>
      <c r="AC67" s="20" t="s">
        <v>32</v>
      </c>
      <c r="AD67" s="21"/>
      <c r="AE67" s="19"/>
      <c r="AF67" s="19">
        <v>1750</v>
      </c>
      <c r="AG67" s="19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</row>
    <row r="68" spans="1:44" ht="12.75" customHeight="1">
      <c r="A68" s="66" t="s">
        <v>106</v>
      </c>
      <c r="B68" s="17">
        <v>49</v>
      </c>
      <c r="C68" s="17">
        <v>340</v>
      </c>
      <c r="D68" s="17">
        <v>30</v>
      </c>
      <c r="E68" s="33">
        <f>B68/D68*30</f>
        <v>49</v>
      </c>
      <c r="F68" s="17">
        <v>0.35</v>
      </c>
      <c r="G68" s="17">
        <v>0.8</v>
      </c>
      <c r="H68" s="17">
        <v>0</v>
      </c>
      <c r="I68" s="17">
        <v>4</v>
      </c>
      <c r="J68" s="17" t="s">
        <v>139</v>
      </c>
      <c r="K68" s="39">
        <f>C68/B68</f>
        <v>6.9387755102040813</v>
      </c>
      <c r="L68" s="35">
        <f>G68/((C68/B68))</f>
        <v>0.11529411764705884</v>
      </c>
      <c r="M68" s="40">
        <f>F68/(C68/B68)</f>
        <v>5.0441176470588232E-2</v>
      </c>
      <c r="N68" s="19">
        <v>0.28999999999999998</v>
      </c>
      <c r="O68" s="19">
        <v>0.78</v>
      </c>
      <c r="P68" s="19">
        <v>0.25</v>
      </c>
      <c r="Q68" s="19">
        <v>0.5</v>
      </c>
      <c r="R68" s="50">
        <f>IF((($B$7-($H68+$H$7))&lt;=0),(0+$I$7),(I68*($B$7-(H68+$H$7)))+($I$7))</f>
        <v>200</v>
      </c>
      <c r="S68" s="31">
        <f>((($B$3*F68)+($B$3*$C$3*G68))+(($B$4*N68)+($B$4*$C$4*O68))+(($B$5*P68)+($B$6*Q68)))</f>
        <v>64.820000000000007</v>
      </c>
      <c r="T68" s="43">
        <f>IF(((S68-C68)&lt;0),(B68+R68),(S68-C68+B68+R68))</f>
        <v>249</v>
      </c>
      <c r="U68" s="43">
        <f>IFERROR(T68,9999)</f>
        <v>249</v>
      </c>
      <c r="V68" s="44">
        <f>S68/C68</f>
        <v>0.19064705882352945</v>
      </c>
      <c r="W68" s="51">
        <f>IF(((C68-S68)&lt;0),0,C68-S68)</f>
        <v>275.18</v>
      </c>
      <c r="X68" s="19" t="str">
        <f>(IF((S68&lt;=C68),"NO","YES"))</f>
        <v>NO</v>
      </c>
      <c r="Y68" s="22">
        <f>RANK(U68,U:U,1)</f>
        <v>59</v>
      </c>
      <c r="Z68" s="19"/>
      <c r="AA68" s="20" t="s">
        <v>15</v>
      </c>
      <c r="AB68" s="19"/>
      <c r="AC68" s="20" t="s">
        <v>26</v>
      </c>
      <c r="AD68" s="20" t="s">
        <v>27</v>
      </c>
      <c r="AE68" s="19"/>
      <c r="AF68" s="19"/>
      <c r="AG68" s="19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</row>
    <row r="69" spans="1:44" ht="12.75" customHeight="1">
      <c r="A69" s="66" t="s">
        <v>148</v>
      </c>
      <c r="B69" s="17">
        <v>12.99</v>
      </c>
      <c r="C69" s="17">
        <v>150</v>
      </c>
      <c r="D69" s="17">
        <v>30</v>
      </c>
      <c r="E69" s="33">
        <f>B69/D69*30</f>
        <v>12.99</v>
      </c>
      <c r="F69" s="18">
        <v>0.35</v>
      </c>
      <c r="G69" s="17">
        <v>0.8</v>
      </c>
      <c r="H69" s="17">
        <v>0</v>
      </c>
      <c r="I69" s="17">
        <v>5</v>
      </c>
      <c r="J69" s="17" t="s">
        <v>139</v>
      </c>
      <c r="K69" s="39">
        <f>C69/B69</f>
        <v>11.547344110854503</v>
      </c>
      <c r="L69" s="35">
        <f>G69/((C69/B69))</f>
        <v>6.9280000000000008E-2</v>
      </c>
      <c r="M69" s="40">
        <f>F69/(C69/B69)</f>
        <v>3.031E-2</v>
      </c>
      <c r="N69" s="19">
        <v>0</v>
      </c>
      <c r="O69" s="19">
        <v>0.28999999999999998</v>
      </c>
      <c r="P69" s="19">
        <v>0.253</v>
      </c>
      <c r="Q69" s="19">
        <v>0.5</v>
      </c>
      <c r="R69" s="50">
        <f>IF((($B$7-($H69+$H$7))&lt;=0),(0+$I$7),(I69*($B$7-(H69+$H$7)))+($I$7))</f>
        <v>250</v>
      </c>
      <c r="S69" s="31">
        <f>((($B$3*F69)+($B$3*$C$3*G69))+(($B$4*N69)+($B$4*$C$4*O69))+(($B$5*P69)+($B$6*Q69)))</f>
        <v>65.27000000000001</v>
      </c>
      <c r="T69" s="43">
        <f>IF(((S69-C69)&lt;0),(B69+R69),(S69-C69+B69+R69))</f>
        <v>262.99</v>
      </c>
      <c r="U69" s="43">
        <f>IFERROR(T69,9999)</f>
        <v>262.99</v>
      </c>
      <c r="V69" s="44">
        <f>S69/C69</f>
        <v>0.43513333333333343</v>
      </c>
      <c r="W69" s="51">
        <f>IF(((C69-S69)&lt;0),0,C69-S69)</f>
        <v>84.72999999999999</v>
      </c>
      <c r="X69" s="19" t="str">
        <f>(IF((S69&lt;=C69),"NO","YES"))</f>
        <v>NO</v>
      </c>
      <c r="Y69" s="22">
        <f>RANK(U69,U:U,1)</f>
        <v>61</v>
      </c>
      <c r="Z69" s="19"/>
      <c r="AA69" s="20" t="s">
        <v>14</v>
      </c>
      <c r="AB69" s="20" t="s">
        <v>25</v>
      </c>
      <c r="AC69" s="20" t="s">
        <v>26</v>
      </c>
      <c r="AD69" s="20" t="s">
        <v>25</v>
      </c>
      <c r="AE69" s="19"/>
      <c r="AF69" s="20" t="s">
        <v>36</v>
      </c>
      <c r="AG69" s="20"/>
      <c r="AJ69" s="1"/>
      <c r="AK69" s="1"/>
      <c r="AL69" s="1"/>
      <c r="AM69" s="1"/>
      <c r="AN69" s="1"/>
      <c r="AO69" s="1"/>
      <c r="AP69" s="1"/>
      <c r="AQ69" s="1"/>
      <c r="AR69" s="1"/>
    </row>
    <row r="70" spans="1:44" ht="12.75" customHeight="1">
      <c r="A70" s="66" t="s">
        <v>49</v>
      </c>
      <c r="B70" s="17">
        <v>19.989999999999998</v>
      </c>
      <c r="C70" s="17">
        <v>300</v>
      </c>
      <c r="D70" s="17">
        <v>30</v>
      </c>
      <c r="E70" s="33">
        <f>B70/D70*30</f>
        <v>19.989999999999998</v>
      </c>
      <c r="F70" s="18">
        <v>0.35</v>
      </c>
      <c r="G70" s="17">
        <v>0.8</v>
      </c>
      <c r="H70" s="17">
        <v>0</v>
      </c>
      <c r="I70" s="17">
        <v>5</v>
      </c>
      <c r="J70" s="17" t="s">
        <v>139</v>
      </c>
      <c r="K70" s="39">
        <f>C70/B70</f>
        <v>15.007503751875939</v>
      </c>
      <c r="L70" s="35">
        <f>G70/((C70/B70))</f>
        <v>5.3306666666666669E-2</v>
      </c>
      <c r="M70" s="40">
        <f>F70/(C70/B70)</f>
        <v>2.3321666666666664E-2</v>
      </c>
      <c r="N70" s="19">
        <v>0</v>
      </c>
      <c r="O70" s="19">
        <v>0.28999999999999998</v>
      </c>
      <c r="P70" s="19">
        <v>0.253</v>
      </c>
      <c r="Q70" s="19">
        <v>0.5</v>
      </c>
      <c r="R70" s="50">
        <f>IF((($B$7-($H70+$H$7))&lt;=0),(0+$I$7),(I70*($B$7-(H70+$H$7)))+($I$7))</f>
        <v>250</v>
      </c>
      <c r="S70" s="31">
        <f>((($B$3*F70)+($B$3*$C$3*G70))+(($B$4*N70)+($B$4*$C$4*O70))+(($B$5*P70)+($B$6*Q70)))</f>
        <v>65.27000000000001</v>
      </c>
      <c r="T70" s="43">
        <f>IF(((S70-C70)&lt;0),(B70+R70),(S70-C70+B70+R70))</f>
        <v>269.99</v>
      </c>
      <c r="U70" s="43">
        <f>IFERROR(T70,9999)</f>
        <v>269.99</v>
      </c>
      <c r="V70" s="44">
        <f>S70/C70</f>
        <v>0.21756666666666671</v>
      </c>
      <c r="W70" s="51">
        <f>IF(((C70-S70)&lt;0),0,C70-S70)</f>
        <v>234.73</v>
      </c>
      <c r="X70" s="19" t="str">
        <f>(IF((S70&lt;=C70),"NO","YES"))</f>
        <v>NO</v>
      </c>
      <c r="Y70" s="22">
        <f>RANK(U70,U:U,1)</f>
        <v>62</v>
      </c>
      <c r="Z70" s="19"/>
      <c r="AA70" s="20" t="s">
        <v>14</v>
      </c>
      <c r="AB70" s="20" t="s">
        <v>25</v>
      </c>
      <c r="AC70" s="20" t="s">
        <v>26</v>
      </c>
      <c r="AD70" s="20" t="s">
        <v>25</v>
      </c>
      <c r="AE70" s="19"/>
      <c r="AF70" s="20" t="s">
        <v>36</v>
      </c>
      <c r="AG70" s="20"/>
      <c r="AJ70" s="1"/>
      <c r="AK70" s="1"/>
      <c r="AL70" s="1"/>
      <c r="AM70" s="1"/>
      <c r="AN70" s="1"/>
      <c r="AO70" s="1"/>
      <c r="AP70" s="1"/>
      <c r="AQ70" s="1"/>
      <c r="AR70" s="1"/>
    </row>
    <row r="71" spans="1:44" ht="12.75" customHeight="1">
      <c r="A71" s="66" t="s">
        <v>147</v>
      </c>
      <c r="B71" s="17">
        <v>9.99</v>
      </c>
      <c r="C71" s="17">
        <v>50</v>
      </c>
      <c r="D71" s="17">
        <v>30</v>
      </c>
      <c r="E71" s="33">
        <f>B71/D71*30</f>
        <v>9.99</v>
      </c>
      <c r="F71" s="18">
        <v>0.35</v>
      </c>
      <c r="G71" s="17">
        <v>0.8</v>
      </c>
      <c r="H71" s="17">
        <v>0</v>
      </c>
      <c r="I71" s="17">
        <v>5</v>
      </c>
      <c r="J71" s="17" t="s">
        <v>139</v>
      </c>
      <c r="K71" s="39">
        <f>C71/B71</f>
        <v>5.005005005005005</v>
      </c>
      <c r="L71" s="35">
        <f>G71/((C71/B71))</f>
        <v>0.15984000000000001</v>
      </c>
      <c r="M71" s="40">
        <f>F71/(C71/B71)</f>
        <v>6.9929999999999992E-2</v>
      </c>
      <c r="N71" s="19">
        <v>0</v>
      </c>
      <c r="O71" s="19">
        <v>0.28999999999999998</v>
      </c>
      <c r="P71" s="19">
        <v>0.253</v>
      </c>
      <c r="Q71" s="19">
        <v>0.5</v>
      </c>
      <c r="R71" s="50">
        <f>IF((($B$7-($H71+$H$7))&lt;=0),(0+$I$7),(I71*($B$7-(H71+$H$7)))+($I$7))</f>
        <v>250</v>
      </c>
      <c r="S71" s="31">
        <f>((($B$3*F71)+($B$3*$C$3*G71))+(($B$4*N71)+($B$4*$C$4*O71))+(($B$5*P71)+($B$6*Q71)))</f>
        <v>65.27000000000001</v>
      </c>
      <c r="T71" s="43">
        <f>IF(((S71-C71)&lt;0),(B71+R71),(S71-C71+B71+R71))</f>
        <v>275.26</v>
      </c>
      <c r="U71" s="43">
        <f>IFERROR(T71,9999)</f>
        <v>275.26</v>
      </c>
      <c r="V71" s="44">
        <f>S71/C71</f>
        <v>1.3054000000000001</v>
      </c>
      <c r="W71" s="51">
        <f>IF(((C71-S71)&lt;0),0,C71-S71)</f>
        <v>0</v>
      </c>
      <c r="X71" s="19" t="str">
        <f>(IF((S71&lt;=C71),"NO","YES"))</f>
        <v>YES</v>
      </c>
      <c r="Y71" s="22">
        <f>RANK(U71,U:U,1)</f>
        <v>63</v>
      </c>
      <c r="Z71" s="19"/>
      <c r="AA71" s="20" t="s">
        <v>14</v>
      </c>
      <c r="AB71" s="20" t="s">
        <v>25</v>
      </c>
      <c r="AC71" s="20" t="s">
        <v>26</v>
      </c>
      <c r="AD71" s="20" t="s">
        <v>25</v>
      </c>
      <c r="AE71" s="19"/>
      <c r="AF71" s="20" t="s">
        <v>36</v>
      </c>
      <c r="AG71" s="20"/>
      <c r="AJ71" s="1"/>
      <c r="AK71" s="1"/>
      <c r="AL71" s="1"/>
      <c r="AM71" s="1"/>
      <c r="AN71" s="1"/>
      <c r="AO71" s="1"/>
      <c r="AP71" s="1"/>
      <c r="AQ71" s="1"/>
      <c r="AR71" s="1"/>
    </row>
    <row r="72" spans="1:44" ht="12.75" customHeight="1">
      <c r="A72" s="66" t="s">
        <v>107</v>
      </c>
      <c r="B72" s="17">
        <v>79</v>
      </c>
      <c r="C72" s="17">
        <v>650</v>
      </c>
      <c r="D72" s="17">
        <v>30</v>
      </c>
      <c r="E72" s="33">
        <f>B72/D72*30</f>
        <v>79</v>
      </c>
      <c r="F72" s="17">
        <v>0.35</v>
      </c>
      <c r="G72" s="17">
        <v>0.8</v>
      </c>
      <c r="H72" s="17">
        <v>0</v>
      </c>
      <c r="I72" s="17">
        <v>4</v>
      </c>
      <c r="J72" s="17" t="s">
        <v>139</v>
      </c>
      <c r="K72" s="39">
        <f>C72/B72</f>
        <v>8.2278481012658222</v>
      </c>
      <c r="L72" s="35">
        <f>G72/((C72/B72))</f>
        <v>9.7230769230769246E-2</v>
      </c>
      <c r="M72" s="40">
        <f>F72/(C72/B72)</f>
        <v>4.2538461538461539E-2</v>
      </c>
      <c r="N72" s="19">
        <v>0.25</v>
      </c>
      <c r="O72" s="19">
        <v>0.6</v>
      </c>
      <c r="P72" s="19">
        <v>0.25</v>
      </c>
      <c r="Q72" s="19">
        <v>0.5</v>
      </c>
      <c r="R72" s="50">
        <f>IF((($B$7-($H72+$H$7))&lt;=0),(0+$I$7),(I72*($B$7-(H72+$H$7)))+($I$7))</f>
        <v>200</v>
      </c>
      <c r="S72" s="31">
        <f>((($B$3*F72)+($B$3*$C$3*G72))+(($B$4*N72)+($B$4*$C$4*O72))+(($B$5*P72)+($B$6*Q72)))</f>
        <v>64.820000000000007</v>
      </c>
      <c r="T72" s="43">
        <f>IF(((S72-C72)&lt;0),(B72+R72),(S72-C72+B72+R72))</f>
        <v>279</v>
      </c>
      <c r="U72" s="43">
        <f>IFERROR(T72,9999)</f>
        <v>279</v>
      </c>
      <c r="V72" s="44">
        <f>S72/C72</f>
        <v>9.9723076923076928E-2</v>
      </c>
      <c r="W72" s="51">
        <f>IF(((C72-S72)&lt;0),0,C72-S72)</f>
        <v>585.17999999999995</v>
      </c>
      <c r="X72" s="19" t="str">
        <f>(IF((S72&lt;=C72),"NO","YES"))</f>
        <v>NO</v>
      </c>
      <c r="Y72" s="22">
        <f>RANK(U72,U:U,1)</f>
        <v>64</v>
      </c>
      <c r="Z72" s="19"/>
      <c r="AA72" s="20" t="s">
        <v>15</v>
      </c>
      <c r="AB72" s="19"/>
      <c r="AC72" s="20" t="s">
        <v>26</v>
      </c>
      <c r="AD72" s="20" t="s">
        <v>27</v>
      </c>
      <c r="AE72" s="19"/>
      <c r="AF72" s="19"/>
      <c r="AG72" s="19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</row>
    <row r="73" spans="1:44" ht="12.75" customHeight="1">
      <c r="A73" s="66" t="s">
        <v>50</v>
      </c>
      <c r="B73" s="17">
        <v>39.99</v>
      </c>
      <c r="C73" s="17">
        <v>550</v>
      </c>
      <c r="D73" s="17">
        <v>30</v>
      </c>
      <c r="E73" s="33">
        <f>B73/D73*30</f>
        <v>39.99</v>
      </c>
      <c r="F73" s="18">
        <v>0.35</v>
      </c>
      <c r="G73" s="17">
        <v>0.8</v>
      </c>
      <c r="H73" s="17">
        <v>0</v>
      </c>
      <c r="I73" s="17">
        <v>5</v>
      </c>
      <c r="J73" s="17" t="s">
        <v>139</v>
      </c>
      <c r="K73" s="39">
        <f>C73/B73</f>
        <v>13.753438359589897</v>
      </c>
      <c r="L73" s="35">
        <f>G73/((C73/B73))</f>
        <v>5.8167272727272734E-2</v>
      </c>
      <c r="M73" s="40">
        <f>F73/(C73/B73)</f>
        <v>2.5448181818181818E-2</v>
      </c>
      <c r="N73" s="19">
        <v>0</v>
      </c>
      <c r="O73" s="19">
        <v>0.28999999999999998</v>
      </c>
      <c r="P73" s="19">
        <v>0.253</v>
      </c>
      <c r="Q73" s="19">
        <v>0.5</v>
      </c>
      <c r="R73" s="50">
        <f>IF((($B$7-($H73+$H$7))&lt;=0),(0+$I$7),(I73*($B$7-(H73+$H$7)))+($I$7))</f>
        <v>250</v>
      </c>
      <c r="S73" s="31">
        <f>((($B$3*F73)+($B$3*$C$3*G73))+(($B$4*N73)+($B$4*$C$4*O73))+(($B$5*P73)+($B$6*Q73)))</f>
        <v>65.27000000000001</v>
      </c>
      <c r="T73" s="43">
        <f>IF(((S73-C73)&lt;0),(B73+R73),(S73-C73+B73+R73))</f>
        <v>289.99</v>
      </c>
      <c r="U73" s="43">
        <f>IFERROR(T73,9999)</f>
        <v>289.99</v>
      </c>
      <c r="V73" s="44">
        <f>S73/C73</f>
        <v>0.11867272727272729</v>
      </c>
      <c r="W73" s="51">
        <f>IF(((C73-S73)&lt;0),0,C73-S73)</f>
        <v>484.73</v>
      </c>
      <c r="X73" s="19" t="str">
        <f>(IF((S73&lt;=C73),"NO","YES"))</f>
        <v>NO</v>
      </c>
      <c r="Y73" s="22">
        <f>RANK(U73,U:U,1)</f>
        <v>65</v>
      </c>
      <c r="Z73" s="19"/>
      <c r="AA73" s="20" t="s">
        <v>14</v>
      </c>
      <c r="AB73" s="20" t="s">
        <v>25</v>
      </c>
      <c r="AC73" s="20" t="s">
        <v>26</v>
      </c>
      <c r="AD73" s="20" t="s">
        <v>25</v>
      </c>
      <c r="AE73" s="19"/>
      <c r="AF73" s="20" t="s">
        <v>36</v>
      </c>
      <c r="AG73" s="20"/>
      <c r="AJ73" s="1"/>
      <c r="AK73" s="1"/>
      <c r="AL73" s="1"/>
      <c r="AM73" s="1"/>
      <c r="AN73" s="1"/>
      <c r="AO73" s="1"/>
      <c r="AP73" s="1"/>
      <c r="AQ73" s="1"/>
      <c r="AR73" s="1"/>
    </row>
    <row r="74" spans="1:44" ht="12.75" customHeight="1">
      <c r="A74" s="89" t="s">
        <v>158</v>
      </c>
      <c r="B74" s="17">
        <v>12</v>
      </c>
      <c r="C74" s="17">
        <v>24</v>
      </c>
      <c r="D74" s="17">
        <v>30</v>
      </c>
      <c r="E74" s="33">
        <f>B74/D74*30</f>
        <v>12</v>
      </c>
      <c r="F74" s="18">
        <v>0.2</v>
      </c>
      <c r="G74" s="17">
        <v>0.12</v>
      </c>
      <c r="H74" s="17">
        <v>0</v>
      </c>
      <c r="I74" s="17">
        <v>5.5</v>
      </c>
      <c r="J74" s="17" t="s">
        <v>139</v>
      </c>
      <c r="K74" s="39">
        <f>C74/B74</f>
        <v>2</v>
      </c>
      <c r="L74" s="35">
        <f>G74/((C74/B74))</f>
        <v>0.06</v>
      </c>
      <c r="M74" s="40">
        <f>F74/(C74/B74)</f>
        <v>0.1</v>
      </c>
      <c r="N74" s="18">
        <v>0.12</v>
      </c>
      <c r="O74" s="17">
        <v>0.12</v>
      </c>
      <c r="P74" s="19">
        <v>0.12</v>
      </c>
      <c r="Q74" s="19">
        <v>0.8</v>
      </c>
      <c r="R74" s="50">
        <f>IF((($B$7-($H74+$H$7))&lt;=0),(0+$I$7),(I74*($B$7-(H74+$H$7)))+($I$7))</f>
        <v>275</v>
      </c>
      <c r="S74" s="31">
        <f>((($B$3*F74)+($B$3*$C$3*G74))+(($B$4*N74)+($B$4*$C$4*O74))+(($B$5*P74)+($B$6*Q74)))</f>
        <v>27.248000000000001</v>
      </c>
      <c r="T74" s="43">
        <f>IF(((S74-C74)&lt;0),(B74+R74),(S74-C74+B74+R74))</f>
        <v>290.24799999999999</v>
      </c>
      <c r="U74" s="43">
        <f>IFERROR(T74,9999)</f>
        <v>290.24799999999999</v>
      </c>
      <c r="V74" s="44">
        <f>S74/C74</f>
        <v>1.1353333333333333</v>
      </c>
      <c r="W74" s="51">
        <f>IF(((C74-S74)&lt;0),0,C74-S74)</f>
        <v>0</v>
      </c>
      <c r="X74" s="19" t="str">
        <f>(IF((S74&lt;=C74),"NO","YES"))</f>
        <v>YES</v>
      </c>
      <c r="Y74" s="22">
        <f>RANK(U74,U:U,1)</f>
        <v>66</v>
      </c>
      <c r="Z74" s="19"/>
      <c r="AA74" s="19" t="s">
        <v>12</v>
      </c>
      <c r="AB74" s="19" t="s">
        <v>157</v>
      </c>
      <c r="AC74" s="19" t="s">
        <v>26</v>
      </c>
      <c r="AD74" s="19" t="s">
        <v>157</v>
      </c>
      <c r="AE74" s="19" t="s">
        <v>139</v>
      </c>
      <c r="AF74" s="19" t="s">
        <v>157</v>
      </c>
      <c r="AG74" s="19" t="s">
        <v>157</v>
      </c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</row>
    <row r="75" spans="1:44" ht="12.75" customHeight="1">
      <c r="A75" s="66" t="s">
        <v>124</v>
      </c>
      <c r="B75" s="17">
        <v>199</v>
      </c>
      <c r="C75" s="17">
        <v>2000</v>
      </c>
      <c r="D75" s="17">
        <v>30</v>
      </c>
      <c r="E75" s="33">
        <f>B75/D75*30</f>
        <v>199</v>
      </c>
      <c r="F75" s="17">
        <v>0.35</v>
      </c>
      <c r="G75" s="17">
        <v>0.7</v>
      </c>
      <c r="H75" s="17">
        <v>0</v>
      </c>
      <c r="I75" s="17">
        <v>2</v>
      </c>
      <c r="J75" s="17" t="s">
        <v>139</v>
      </c>
      <c r="K75" s="39">
        <f>C75/B75</f>
        <v>10.050251256281408</v>
      </c>
      <c r="L75" s="35">
        <f>G75/((C75/B75))</f>
        <v>6.964999999999999E-2</v>
      </c>
      <c r="M75" s="40">
        <f>F75/(C75/B75)</f>
        <v>3.4824999999999995E-2</v>
      </c>
      <c r="N75" s="19">
        <v>0.35</v>
      </c>
      <c r="O75" s="17">
        <v>1</v>
      </c>
      <c r="P75" s="19">
        <v>0.25</v>
      </c>
      <c r="Q75" s="19">
        <v>0.75</v>
      </c>
      <c r="R75" s="50">
        <f>IF((($B$7-($H75+$H$7))&lt;=0),(0+$I$7),(I75*($B$7-(H75+$H$7)))+($I$7))</f>
        <v>100</v>
      </c>
      <c r="S75" s="31">
        <f>((($B$3*F75)+($B$3*$C$3*G75))+(($B$4*N75)+($B$4*$C$4*O75))+(($B$5*P75)+($B$6*Q75)))</f>
        <v>63.03</v>
      </c>
      <c r="T75" s="43">
        <f>IF(((S75-C75)&lt;0),(B75+R75),(S75-C75+B75+R75))</f>
        <v>299</v>
      </c>
      <c r="U75" s="43">
        <f>IFERROR(T75,9999)</f>
        <v>299</v>
      </c>
      <c r="V75" s="44">
        <f>S75/C75</f>
        <v>3.1515000000000001E-2</v>
      </c>
      <c r="W75" s="51">
        <f>IF(((C75-S75)&lt;0),0,C75-S75)</f>
        <v>1936.97</v>
      </c>
      <c r="X75" s="19" t="str">
        <f>(IF((S75&lt;=C75),"NO","YES"))</f>
        <v>NO</v>
      </c>
      <c r="Y75" s="22">
        <f>RANK(U75,U:U,1)</f>
        <v>67</v>
      </c>
      <c r="Z75" s="19"/>
      <c r="AA75" s="20" t="s">
        <v>16</v>
      </c>
      <c r="AB75" s="19"/>
      <c r="AC75" s="20" t="s">
        <v>32</v>
      </c>
      <c r="AD75" s="21"/>
      <c r="AE75" s="19"/>
      <c r="AF75" s="19">
        <v>2100</v>
      </c>
      <c r="AG75" s="19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</row>
    <row r="76" spans="1:44" ht="12.75" customHeight="1">
      <c r="A76" s="66" t="s">
        <v>108</v>
      </c>
      <c r="B76" s="17">
        <v>99</v>
      </c>
      <c r="C76" s="17">
        <v>1000</v>
      </c>
      <c r="D76" s="17">
        <v>30</v>
      </c>
      <c r="E76" s="33">
        <f>B76/D76*30</f>
        <v>99</v>
      </c>
      <c r="F76" s="17">
        <v>0.35</v>
      </c>
      <c r="G76" s="17">
        <v>0.7</v>
      </c>
      <c r="H76" s="17">
        <v>0</v>
      </c>
      <c r="I76" s="17">
        <v>4</v>
      </c>
      <c r="J76" s="17" t="s">
        <v>139</v>
      </c>
      <c r="K76" s="39">
        <f>C76/B76</f>
        <v>10.1010101010101</v>
      </c>
      <c r="L76" s="35">
        <f>G76/((C76/B76))</f>
        <v>6.93E-2</v>
      </c>
      <c r="M76" s="40">
        <f>F76/(C76/B76)</f>
        <v>3.465E-2</v>
      </c>
      <c r="N76" s="19">
        <v>0.3</v>
      </c>
      <c r="O76" s="19">
        <v>0.7</v>
      </c>
      <c r="P76" s="19">
        <v>0.25</v>
      </c>
      <c r="Q76" s="19">
        <v>0.5</v>
      </c>
      <c r="R76" s="50">
        <f>IF((($B$7-($H76+$H$7))&lt;=0),(0+$I$7),(I76*($B$7-(H76+$H$7)))+($I$7))</f>
        <v>200</v>
      </c>
      <c r="S76" s="31">
        <f>((($B$3*F76)+($B$3*$C$3*G76))+(($B$4*N76)+($B$4*$C$4*O76))+(($B$5*P76)+($B$6*Q76)))</f>
        <v>62.78</v>
      </c>
      <c r="T76" s="43">
        <f>IF(((S76-C76)&lt;0),(B76+R76),(S76-C76+B76+R76))</f>
        <v>299</v>
      </c>
      <c r="U76" s="43">
        <f>IFERROR(T76,9999)</f>
        <v>299</v>
      </c>
      <c r="V76" s="44">
        <f>S76/C76</f>
        <v>6.2780000000000002E-2</v>
      </c>
      <c r="W76" s="51">
        <f>IF(((C76-S76)&lt;0),0,C76-S76)</f>
        <v>937.22</v>
      </c>
      <c r="X76" s="19" t="str">
        <f>(IF((S76&lt;=C76),"NO","YES"))</f>
        <v>NO</v>
      </c>
      <c r="Y76" s="22">
        <f>RANK(U76,U:U,1)</f>
        <v>67</v>
      </c>
      <c r="Z76" s="19"/>
      <c r="AA76" s="20" t="s">
        <v>15</v>
      </c>
      <c r="AB76" s="19"/>
      <c r="AC76" s="20" t="s">
        <v>26</v>
      </c>
      <c r="AD76" s="20" t="s">
        <v>27</v>
      </c>
      <c r="AE76" s="19"/>
      <c r="AF76" s="19"/>
      <c r="AG76" s="19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</row>
    <row r="77" spans="1:44" ht="12.75" customHeight="1">
      <c r="A77" s="66" t="s">
        <v>109</v>
      </c>
      <c r="B77" s="17">
        <v>129</v>
      </c>
      <c r="C77" s="17">
        <v>2000</v>
      </c>
      <c r="D77" s="17">
        <v>30</v>
      </c>
      <c r="E77" s="33">
        <f>B77/D77*30</f>
        <v>129</v>
      </c>
      <c r="F77" s="17">
        <v>0.35</v>
      </c>
      <c r="G77" s="17">
        <v>0.7</v>
      </c>
      <c r="H77" s="17">
        <v>0</v>
      </c>
      <c r="I77" s="17">
        <v>4</v>
      </c>
      <c r="J77" s="17" t="s">
        <v>139</v>
      </c>
      <c r="K77" s="39">
        <f>C77/B77</f>
        <v>15.503875968992247</v>
      </c>
      <c r="L77" s="35">
        <f>G77/((C77/B77))</f>
        <v>4.5150000000000003E-2</v>
      </c>
      <c r="M77" s="40">
        <f>F77/(C77/B77)</f>
        <v>2.2575000000000001E-2</v>
      </c>
      <c r="N77" s="19">
        <v>0.3</v>
      </c>
      <c r="O77" s="19">
        <v>0.75</v>
      </c>
      <c r="P77" s="19">
        <v>0.25</v>
      </c>
      <c r="Q77" s="19">
        <v>0.5</v>
      </c>
      <c r="R77" s="50">
        <f>IF((($B$7-($H77+$H$7))&lt;=0),(0+$I$7),(I77*($B$7-(H77+$H$7)))+($I$7))</f>
        <v>200</v>
      </c>
      <c r="S77" s="31">
        <f>((($B$3*F77)+($B$3*$C$3*G77))+(($B$4*N77)+($B$4*$C$4*O77))+(($B$5*P77)+($B$6*Q77)))</f>
        <v>62.78</v>
      </c>
      <c r="T77" s="43">
        <f>IF(((S77-C77)&lt;0),(B77+R77),(S77-C77+B77+R77))</f>
        <v>329</v>
      </c>
      <c r="U77" s="43">
        <f>IFERROR(T77,9999)</f>
        <v>329</v>
      </c>
      <c r="V77" s="44">
        <f>S77/C77</f>
        <v>3.1390000000000001E-2</v>
      </c>
      <c r="W77" s="51">
        <f>IF(((C77-S77)&lt;0),0,C77-S77)</f>
        <v>1937.22</v>
      </c>
      <c r="X77" s="19" t="str">
        <f>(IF((S77&lt;=C77),"NO","YES"))</f>
        <v>NO</v>
      </c>
      <c r="Y77" s="22">
        <f>RANK(U77,U:U,1)</f>
        <v>69</v>
      </c>
      <c r="Z77" s="19"/>
      <c r="AA77" s="20" t="s">
        <v>15</v>
      </c>
      <c r="AB77" s="19"/>
      <c r="AC77" s="20" t="s">
        <v>26</v>
      </c>
      <c r="AD77" s="20" t="s">
        <v>27</v>
      </c>
      <c r="AE77" s="19"/>
      <c r="AF77" s="19"/>
      <c r="AG77" s="19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</row>
    <row r="78" spans="1:44" ht="12.75" customHeight="1">
      <c r="A78" s="66" t="s">
        <v>74</v>
      </c>
      <c r="B78" s="17">
        <v>250</v>
      </c>
      <c r="C78" s="17">
        <v>235</v>
      </c>
      <c r="D78" s="17">
        <v>30</v>
      </c>
      <c r="E78" s="33">
        <f>B78/D78*30</f>
        <v>250.00000000000003</v>
      </c>
      <c r="F78" s="17">
        <v>0.27</v>
      </c>
      <c r="G78" s="17">
        <v>0.38</v>
      </c>
      <c r="H78" s="17">
        <v>7.5</v>
      </c>
      <c r="I78" s="17">
        <v>2</v>
      </c>
      <c r="J78" s="17" t="s">
        <v>139</v>
      </c>
      <c r="K78" s="39">
        <f>C78/B78</f>
        <v>0.94</v>
      </c>
      <c r="L78" s="35">
        <f>G78/((C78/B78))</f>
        <v>0.4042553191489362</v>
      </c>
      <c r="M78" s="40">
        <f>F78/(C78/B78)</f>
        <v>0.28723404255319152</v>
      </c>
      <c r="N78" s="19">
        <v>0</v>
      </c>
      <c r="O78" s="19">
        <v>0.6</v>
      </c>
      <c r="P78" s="19">
        <v>0.25</v>
      </c>
      <c r="Q78" s="19">
        <v>0.5</v>
      </c>
      <c r="R78" s="50">
        <f>IF((($B$7-($H78+$H$7))&lt;=0),(0+$I$7),(I78*($B$7-(H78+$H$7)))+($I$7))</f>
        <v>85</v>
      </c>
      <c r="S78" s="31">
        <f>((($B$3*F78)+($B$3*$C$3*G78))+(($B$4*N78)+($B$4*$C$4*O78))+(($B$5*P78)+($B$6*Q78)))</f>
        <v>53.852000000000004</v>
      </c>
      <c r="T78" s="43">
        <f>IF(((S78-C78)&lt;0),(B78+R78),(S78-C78+B78+R78))</f>
        <v>335</v>
      </c>
      <c r="U78" s="43">
        <f>IFERROR(T78,9999)</f>
        <v>335</v>
      </c>
      <c r="V78" s="44">
        <f>S78/C78</f>
        <v>0.22915744680851066</v>
      </c>
      <c r="W78" s="51">
        <f>IF(((C78-S78)&lt;0),0,C78-S78)</f>
        <v>181.148</v>
      </c>
      <c r="X78" s="19" t="str">
        <f>(IF((S78&lt;=C78),"NO","YES"))</f>
        <v>NO</v>
      </c>
      <c r="Y78" s="22">
        <f>RANK(U78,U:U,1)</f>
        <v>70</v>
      </c>
      <c r="Z78" s="19"/>
      <c r="AA78" s="20" t="s">
        <v>12</v>
      </c>
      <c r="AB78" s="20"/>
      <c r="AC78" s="20"/>
      <c r="AD78" s="20"/>
      <c r="AE78" s="19"/>
      <c r="AF78" s="19"/>
      <c r="AG78" s="19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</row>
    <row r="79" spans="1:44" ht="12.75" customHeight="1">
      <c r="A79" s="66" t="s">
        <v>101</v>
      </c>
      <c r="B79" s="17">
        <v>29</v>
      </c>
      <c r="C79" s="17">
        <v>150</v>
      </c>
      <c r="D79" s="17">
        <v>30</v>
      </c>
      <c r="E79" s="33">
        <f>B79/D79*30</f>
        <v>29</v>
      </c>
      <c r="F79" s="17">
        <v>0.35</v>
      </c>
      <c r="G79" s="17">
        <v>0.78</v>
      </c>
      <c r="H79" s="17">
        <v>0</v>
      </c>
      <c r="I79" s="17">
        <v>10</v>
      </c>
      <c r="J79" s="17" t="s">
        <v>139</v>
      </c>
      <c r="K79" s="39">
        <f>C79/B79</f>
        <v>5.1724137931034484</v>
      </c>
      <c r="L79" s="35">
        <f>G79/((C79/B79))</f>
        <v>0.15079999999999999</v>
      </c>
      <c r="M79" s="40">
        <f>F79/(C79/B79)</f>
        <v>6.7666666666666667E-2</v>
      </c>
      <c r="N79" s="19">
        <v>0.35</v>
      </c>
      <c r="O79" s="19">
        <v>0.78</v>
      </c>
      <c r="P79" s="19">
        <v>0.25</v>
      </c>
      <c r="Q79" s="19">
        <v>0.5</v>
      </c>
      <c r="R79" s="50">
        <f>IF((($B$7-($H79+$H$7))&lt;=0),(0+$I$7),(I79*($B$7-(H79+$H$7)))+($I$7))</f>
        <v>500</v>
      </c>
      <c r="S79" s="31">
        <f>((($B$3*F79)+($B$3*$C$3*G79))+(($B$4*N79)+($B$4*$C$4*O79))+(($B$5*P79)+($B$6*Q79)))</f>
        <v>64.412000000000006</v>
      </c>
      <c r="T79" s="43">
        <f>IF(((S79-C79)&lt;0),(B79+R79),(S79-C79+B79+R79))</f>
        <v>529</v>
      </c>
      <c r="U79" s="43">
        <f>IFERROR(T79,9999)</f>
        <v>529</v>
      </c>
      <c r="V79" s="44">
        <f>S79/C79</f>
        <v>0.42941333333333337</v>
      </c>
      <c r="W79" s="51">
        <f>IF(((C79-S79)&lt;0),0,C79-S79)</f>
        <v>85.587999999999994</v>
      </c>
      <c r="X79" s="19" t="str">
        <f>(IF((S79&lt;=C79),"NO","YES"))</f>
        <v>NO</v>
      </c>
      <c r="Y79" s="22">
        <f>RANK(U79,U:U,1)</f>
        <v>71</v>
      </c>
      <c r="Z79" s="19"/>
      <c r="AA79" s="20" t="s">
        <v>15</v>
      </c>
      <c r="AB79" s="19"/>
      <c r="AC79" s="20" t="s">
        <v>30</v>
      </c>
      <c r="AD79" s="20" t="s">
        <v>25</v>
      </c>
      <c r="AE79" s="19"/>
      <c r="AF79" s="19"/>
      <c r="AG79" s="19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</row>
    <row r="80" spans="1:44" ht="12.75" customHeight="1">
      <c r="A80" s="66" t="s">
        <v>134</v>
      </c>
      <c r="B80" s="17">
        <v>40</v>
      </c>
      <c r="C80" s="17">
        <v>40</v>
      </c>
      <c r="D80" s="17">
        <v>30</v>
      </c>
      <c r="E80" s="33">
        <f>B80/D80*30</f>
        <v>40</v>
      </c>
      <c r="F80" s="18">
        <v>0.1</v>
      </c>
      <c r="G80" s="17">
        <v>0.26</v>
      </c>
      <c r="H80" s="17">
        <v>0</v>
      </c>
      <c r="I80" s="17">
        <v>10</v>
      </c>
      <c r="J80" s="17" t="s">
        <v>139</v>
      </c>
      <c r="K80" s="39">
        <f>C80/B80</f>
        <v>1</v>
      </c>
      <c r="L80" s="35">
        <f>G80/((C80/B80))</f>
        <v>0.26</v>
      </c>
      <c r="M80" s="40">
        <f>F80/(C80/B80)</f>
        <v>0.1</v>
      </c>
      <c r="N80" s="18">
        <v>0</v>
      </c>
      <c r="O80" s="17">
        <v>0.1</v>
      </c>
      <c r="P80" s="19">
        <v>0.25</v>
      </c>
      <c r="Q80" s="19">
        <v>0.55000000000000004</v>
      </c>
      <c r="R80" s="50">
        <f>IF((($B$7-($H80+$H$7))&lt;=0),(0+$I$7),(I80*($B$7-(H80+$H$7)))+($I$7))</f>
        <v>500</v>
      </c>
      <c r="S80" s="31">
        <f>((($B$3*F80)+($B$3*$C$3*G80))+(($B$4*N80)+($B$4*$C$4*O80))+(($B$5*P80)+($B$6*Q80)))</f>
        <v>46.353999999999999</v>
      </c>
      <c r="T80" s="43">
        <f>IF(((S80-C80)&lt;0),(B80+R80),(S80-C80+B80+R80))</f>
        <v>546.35400000000004</v>
      </c>
      <c r="U80" s="43">
        <f>IFERROR(T80,9999)</f>
        <v>546.35400000000004</v>
      </c>
      <c r="V80" s="44">
        <f>S80/C80</f>
        <v>1.1588499999999999</v>
      </c>
      <c r="W80" s="51">
        <f>IF(((C80-S80)&lt;0),0,C80-S80)</f>
        <v>0</v>
      </c>
      <c r="X80" s="19" t="str">
        <f>(IF((S80&lt;=C80),"NO","YES"))</f>
        <v>YES</v>
      </c>
      <c r="Y80" s="22">
        <f>RANK(U80,U:U,1)</f>
        <v>72</v>
      </c>
      <c r="Z80" s="19"/>
      <c r="AA80" s="19" t="s">
        <v>140</v>
      </c>
      <c r="AB80" s="19"/>
      <c r="AC80" s="19"/>
      <c r="AD80" s="19"/>
      <c r="AE80" s="19"/>
      <c r="AF80" s="19">
        <f>C80</f>
        <v>40</v>
      </c>
      <c r="AG80" s="19" t="s">
        <v>139</v>
      </c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</row>
    <row r="81" spans="1:44" ht="12.75" customHeight="1">
      <c r="A81" s="66" t="s">
        <v>137</v>
      </c>
      <c r="B81" s="17">
        <v>20</v>
      </c>
      <c r="C81" s="17">
        <v>20</v>
      </c>
      <c r="D81" s="17">
        <v>30</v>
      </c>
      <c r="E81" s="33">
        <f>B81/D81*30</f>
        <v>20</v>
      </c>
      <c r="F81" s="18">
        <v>0.1</v>
      </c>
      <c r="G81" s="17">
        <v>0.28000000000000003</v>
      </c>
      <c r="H81" s="17">
        <v>0</v>
      </c>
      <c r="I81" s="17">
        <v>10</v>
      </c>
      <c r="J81" s="17" t="s">
        <v>139</v>
      </c>
      <c r="K81" s="39">
        <f>C81/B81</f>
        <v>1</v>
      </c>
      <c r="L81" s="35">
        <f>G81/((C81/B81))</f>
        <v>0.28000000000000003</v>
      </c>
      <c r="M81" s="40">
        <f>F81/(C81/B81)</f>
        <v>0.1</v>
      </c>
      <c r="N81" s="18">
        <v>0</v>
      </c>
      <c r="O81" s="17">
        <v>0.1</v>
      </c>
      <c r="P81" s="19">
        <v>0.25</v>
      </c>
      <c r="Q81" s="19">
        <v>0.55000000000000004</v>
      </c>
      <c r="R81" s="50">
        <f>IF((($B$7-($H81+$H$7))&lt;=0),(0+$I$7),(I81*($B$7-(H81+$H$7)))+($I$7))</f>
        <v>500</v>
      </c>
      <c r="S81" s="31">
        <f>((($B$3*F81)+($B$3*$C$3*G81))+(($B$4*N81)+($B$4*$C$4*O81))+(($B$5*P81)+($B$6*Q81)))</f>
        <v>46.762</v>
      </c>
      <c r="T81" s="43">
        <f>IF(((S81-C81)&lt;0),(B81+R81),(S81-C81+B81+R81))</f>
        <v>546.76199999999994</v>
      </c>
      <c r="U81" s="43">
        <f>IFERROR(T81,9999)</f>
        <v>546.76199999999994</v>
      </c>
      <c r="V81" s="44">
        <f>S81/C81</f>
        <v>2.3380999999999998</v>
      </c>
      <c r="W81" s="51">
        <f>IF(((C81-S81)&lt;0),0,C81-S81)</f>
        <v>0</v>
      </c>
      <c r="X81" s="19" t="str">
        <f>(IF((S81&lt;=C81),"NO","YES"))</f>
        <v>YES</v>
      </c>
      <c r="Y81" s="22">
        <f>RANK(U81,U:U,1)</f>
        <v>73</v>
      </c>
      <c r="Z81" s="19"/>
      <c r="AA81" s="19" t="s">
        <v>140</v>
      </c>
      <c r="AB81" s="19"/>
      <c r="AC81" s="19"/>
      <c r="AD81" s="19"/>
      <c r="AE81" s="19"/>
      <c r="AF81" s="19">
        <f>C81</f>
        <v>20</v>
      </c>
      <c r="AG81" s="19" t="s">
        <v>139</v>
      </c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</row>
    <row r="82" spans="1:44" ht="12.75" customHeight="1">
      <c r="A82" s="66" t="s">
        <v>102</v>
      </c>
      <c r="B82" s="17">
        <v>49</v>
      </c>
      <c r="C82" s="17">
        <v>340</v>
      </c>
      <c r="D82" s="17">
        <v>30</v>
      </c>
      <c r="E82" s="33">
        <f>B82/D82*30</f>
        <v>49</v>
      </c>
      <c r="F82" s="17">
        <v>0.35</v>
      </c>
      <c r="G82" s="17">
        <v>0.78</v>
      </c>
      <c r="H82" s="17">
        <v>0</v>
      </c>
      <c r="I82" s="17">
        <v>10</v>
      </c>
      <c r="J82" s="17" t="s">
        <v>139</v>
      </c>
      <c r="K82" s="39">
        <f>C82/B82</f>
        <v>6.9387755102040813</v>
      </c>
      <c r="L82" s="35">
        <f>G82/((C82/B82))</f>
        <v>0.11241176470588236</v>
      </c>
      <c r="M82" s="40">
        <f>F82/(C82/B82)</f>
        <v>5.0441176470588232E-2</v>
      </c>
      <c r="N82" s="19">
        <v>0.35</v>
      </c>
      <c r="O82" s="19">
        <v>0.78</v>
      </c>
      <c r="P82" s="19">
        <v>0.25</v>
      </c>
      <c r="Q82" s="19">
        <v>0.5</v>
      </c>
      <c r="R82" s="50">
        <f>IF((($B$7-($H82+$H$7))&lt;=0),(0+$I$7),(I82*($B$7-(H82+$H$7)))+($I$7))</f>
        <v>500</v>
      </c>
      <c r="S82" s="31">
        <f>((($B$3*F82)+($B$3*$C$3*G82))+(($B$4*N82)+($B$4*$C$4*O82))+(($B$5*P82)+($B$6*Q82)))</f>
        <v>64.412000000000006</v>
      </c>
      <c r="T82" s="43">
        <f>IF(((S82-C82)&lt;0),(B82+R82),(S82-C82+B82+R82))</f>
        <v>549</v>
      </c>
      <c r="U82" s="43">
        <f>IFERROR(T82,9999)</f>
        <v>549</v>
      </c>
      <c r="V82" s="44">
        <f>S82/C82</f>
        <v>0.18944705882352944</v>
      </c>
      <c r="W82" s="51">
        <f>IF(((C82-S82)&lt;0),0,C82-S82)</f>
        <v>275.58799999999997</v>
      </c>
      <c r="X82" s="19" t="str">
        <f>(IF((S82&lt;=C82),"NO","YES"))</f>
        <v>NO</v>
      </c>
      <c r="Y82" s="22">
        <f>RANK(U82,U:U,1)</f>
        <v>74</v>
      </c>
      <c r="Z82" s="19"/>
      <c r="AA82" s="20" t="s">
        <v>15</v>
      </c>
      <c r="AB82" s="19"/>
      <c r="AC82" s="20" t="s">
        <v>30</v>
      </c>
      <c r="AD82" s="20" t="s">
        <v>25</v>
      </c>
      <c r="AE82" s="19"/>
      <c r="AF82" s="19"/>
      <c r="AG82" s="19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</row>
    <row r="83" spans="1:44" ht="12.75" customHeight="1">
      <c r="A83" s="66" t="s">
        <v>135</v>
      </c>
      <c r="B83" s="17">
        <v>70</v>
      </c>
      <c r="C83" s="17">
        <v>70</v>
      </c>
      <c r="D83" s="17">
        <v>30</v>
      </c>
      <c r="E83" s="33">
        <f>B83/D83*30</f>
        <v>70</v>
      </c>
      <c r="F83" s="18">
        <v>0.1</v>
      </c>
      <c r="G83" s="17">
        <v>0.24</v>
      </c>
      <c r="H83" s="17">
        <v>0</v>
      </c>
      <c r="I83" s="17">
        <v>10</v>
      </c>
      <c r="J83" s="17" t="s">
        <v>139</v>
      </c>
      <c r="K83" s="39">
        <f>C83/B83</f>
        <v>1</v>
      </c>
      <c r="L83" s="35">
        <f>G83/((C83/B83))</f>
        <v>0.24</v>
      </c>
      <c r="M83" s="40">
        <f>F83/(C83/B83)</f>
        <v>0.1</v>
      </c>
      <c r="N83" s="18">
        <v>0</v>
      </c>
      <c r="O83" s="17">
        <v>0.1</v>
      </c>
      <c r="P83" s="19">
        <v>0.25</v>
      </c>
      <c r="Q83" s="19">
        <v>0.55000000000000004</v>
      </c>
      <c r="R83" s="50">
        <f>IF((($B$7-($H83+$H$7))&lt;=0),(0+$I$7),(I83*($B$7-(H83+$H$7)))+($I$7))</f>
        <v>500</v>
      </c>
      <c r="S83" s="31">
        <f>((($B$3*F83)+($B$3*$C$3*G83))+(($B$4*N83)+($B$4*$C$4*O83))+(($B$5*P83)+($B$6*Q83)))</f>
        <v>45.945999999999998</v>
      </c>
      <c r="T83" s="43">
        <f>IF(((S83-C83)&lt;0),(B83+R83),(S83-C83+B83+R83))</f>
        <v>570</v>
      </c>
      <c r="U83" s="43">
        <f>IFERROR(T83,9999)</f>
        <v>570</v>
      </c>
      <c r="V83" s="44">
        <f>S83/C83</f>
        <v>0.65637142857142849</v>
      </c>
      <c r="W83" s="51">
        <f>IF(((C83-S83)&lt;0),0,C83-S83)</f>
        <v>24.054000000000002</v>
      </c>
      <c r="X83" s="19" t="str">
        <f>(IF((S83&lt;=C83),"NO","YES"))</f>
        <v>NO</v>
      </c>
      <c r="Y83" s="22">
        <f>RANK(U83,U:U,1)</f>
        <v>75</v>
      </c>
      <c r="Z83" s="19"/>
      <c r="AA83" s="19" t="s">
        <v>140</v>
      </c>
      <c r="AB83" s="19"/>
      <c r="AC83" s="19"/>
      <c r="AD83" s="19"/>
      <c r="AE83" s="19"/>
      <c r="AF83" s="19">
        <f>C83</f>
        <v>70</v>
      </c>
      <c r="AG83" s="19" t="s">
        <v>139</v>
      </c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</row>
    <row r="84" spans="1:44" ht="12.75" customHeight="1">
      <c r="A84" s="66" t="s">
        <v>103</v>
      </c>
      <c r="B84" s="17">
        <v>79</v>
      </c>
      <c r="C84" s="17">
        <v>650</v>
      </c>
      <c r="D84" s="17">
        <v>30</v>
      </c>
      <c r="E84" s="33">
        <f>B84/D84*30</f>
        <v>79</v>
      </c>
      <c r="F84" s="17">
        <v>0.35</v>
      </c>
      <c r="G84" s="17">
        <v>0.78</v>
      </c>
      <c r="H84" s="17">
        <v>0</v>
      </c>
      <c r="I84" s="17">
        <v>10</v>
      </c>
      <c r="J84" s="17" t="s">
        <v>139</v>
      </c>
      <c r="K84" s="39">
        <f>C84/B84</f>
        <v>8.2278481012658222</v>
      </c>
      <c r="L84" s="35">
        <f>G84/((C84/B84))</f>
        <v>9.4800000000000009E-2</v>
      </c>
      <c r="M84" s="40">
        <f>F84/(C84/B84)</f>
        <v>4.2538461538461539E-2</v>
      </c>
      <c r="N84" s="19">
        <v>0.35</v>
      </c>
      <c r="O84" s="19">
        <v>0.78</v>
      </c>
      <c r="P84" s="19">
        <v>0.25</v>
      </c>
      <c r="Q84" s="19">
        <v>0.5</v>
      </c>
      <c r="R84" s="50">
        <f>IF((($B$7-($H84+$H$7))&lt;=0),(0+$I$7),(I84*($B$7-(H84+$H$7)))+($I$7))</f>
        <v>500</v>
      </c>
      <c r="S84" s="31">
        <f>((($B$3*F84)+($B$3*$C$3*G84))+(($B$4*N84)+($B$4*$C$4*O84))+(($B$5*P84)+($B$6*Q84)))</f>
        <v>64.412000000000006</v>
      </c>
      <c r="T84" s="43">
        <f>IF(((S84-C84)&lt;0),(B84+R84),(S84-C84+B84+R84))</f>
        <v>579</v>
      </c>
      <c r="U84" s="43">
        <f>IFERROR(T84,9999)</f>
        <v>579</v>
      </c>
      <c r="V84" s="44">
        <f>S84/C84</f>
        <v>9.9095384615384627E-2</v>
      </c>
      <c r="W84" s="51">
        <f>IF(((C84-S84)&lt;0),0,C84-S84)</f>
        <v>585.58799999999997</v>
      </c>
      <c r="X84" s="19" t="str">
        <f>(IF((S84&lt;=C84),"NO","YES"))</f>
        <v>NO</v>
      </c>
      <c r="Y84" s="22">
        <f>RANK(U84,U:U,1)</f>
        <v>76</v>
      </c>
      <c r="Z84" s="19"/>
      <c r="AA84" s="20" t="s">
        <v>15</v>
      </c>
      <c r="AB84" s="19"/>
      <c r="AC84" s="20" t="s">
        <v>30</v>
      </c>
      <c r="AD84" s="20" t="s">
        <v>25</v>
      </c>
      <c r="AE84" s="19"/>
      <c r="AF84" s="19"/>
      <c r="AG84" s="19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</row>
    <row r="85" spans="1:44" ht="12.75" customHeight="1">
      <c r="A85" s="89" t="s">
        <v>161</v>
      </c>
      <c r="B85" s="17">
        <v>36</v>
      </c>
      <c r="C85" s="17">
        <v>200</v>
      </c>
      <c r="D85" s="17">
        <v>30</v>
      </c>
      <c r="E85" s="33">
        <f>B85/D85*30</f>
        <v>36</v>
      </c>
      <c r="F85" s="18">
        <v>0.35</v>
      </c>
      <c r="G85" s="17">
        <v>0.4</v>
      </c>
      <c r="H85" s="17">
        <v>0</v>
      </c>
      <c r="I85" s="17">
        <v>11</v>
      </c>
      <c r="J85" s="17" t="s">
        <v>139</v>
      </c>
      <c r="K85" s="39">
        <f>C85/B85</f>
        <v>5.5555555555555554</v>
      </c>
      <c r="L85" s="35">
        <f>G85/((C85/B85))</f>
        <v>7.2000000000000008E-2</v>
      </c>
      <c r="M85" s="40">
        <f>F85/(C85/B85)</f>
        <v>6.3E-2</v>
      </c>
      <c r="N85" s="18">
        <v>0.35</v>
      </c>
      <c r="O85" s="17">
        <v>0.4</v>
      </c>
      <c r="P85" s="19">
        <v>0.25</v>
      </c>
      <c r="Q85" s="19">
        <v>0.8</v>
      </c>
      <c r="R85" s="50">
        <f>IF((($B$7-($H85+$H$7))&lt;=0),(0+$I$7),(I85*($B$7-(H85+$H$7)))+($I$7))</f>
        <v>550</v>
      </c>
      <c r="S85" s="31">
        <f>((($B$3*F85)+($B$3*$C$3*G85))+(($B$4*N85)+($B$4*$C$4*O85))+(($B$5*P85)+($B$6*Q85)))</f>
        <v>56.96</v>
      </c>
      <c r="T85" s="43">
        <f>IF(((S85-C85)&lt;0),(B85+R85),(S85-C85+B85+R85))</f>
        <v>586</v>
      </c>
      <c r="U85" s="43">
        <f>IFERROR(T85,9999)</f>
        <v>586</v>
      </c>
      <c r="V85" s="44">
        <f>S85/C85</f>
        <v>0.2848</v>
      </c>
      <c r="W85" s="51">
        <f>IF(((C85-S85)&lt;0),0,C85-S85)</f>
        <v>143.04</v>
      </c>
      <c r="X85" s="19" t="str">
        <f>(IF((S85&lt;=C85),"NO","YES"))</f>
        <v>NO</v>
      </c>
      <c r="Y85" s="22">
        <f>RANK(U85,U:U,1)</f>
        <v>77</v>
      </c>
      <c r="Z85" s="19"/>
      <c r="AA85" s="19" t="s">
        <v>12</v>
      </c>
      <c r="AB85" s="19" t="s">
        <v>157</v>
      </c>
      <c r="AC85" s="19" t="s">
        <v>26</v>
      </c>
      <c r="AD85" s="19" t="s">
        <v>157</v>
      </c>
      <c r="AE85" s="19" t="s">
        <v>139</v>
      </c>
      <c r="AF85" s="19" t="s">
        <v>157</v>
      </c>
      <c r="AG85" s="19" t="s">
        <v>157</v>
      </c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</row>
    <row r="86" spans="1:44" ht="12.75" customHeight="1">
      <c r="A86" s="66" t="s">
        <v>136</v>
      </c>
      <c r="B86" s="17">
        <v>90</v>
      </c>
      <c r="C86" s="17">
        <v>90</v>
      </c>
      <c r="D86" s="17">
        <v>30</v>
      </c>
      <c r="E86" s="33">
        <f>B86/D86*30</f>
        <v>90</v>
      </c>
      <c r="F86" s="18">
        <v>0.1</v>
      </c>
      <c r="G86" s="17">
        <v>0.22</v>
      </c>
      <c r="H86" s="17">
        <v>0</v>
      </c>
      <c r="I86" s="17">
        <v>10</v>
      </c>
      <c r="J86" s="17" t="s">
        <v>139</v>
      </c>
      <c r="K86" s="39">
        <f>C86/B86</f>
        <v>1</v>
      </c>
      <c r="L86" s="35">
        <f>G86/((C86/B86))</f>
        <v>0.22</v>
      </c>
      <c r="M86" s="40">
        <f>F86/(C86/B86)</f>
        <v>0.1</v>
      </c>
      <c r="N86" s="18">
        <v>0</v>
      </c>
      <c r="O86" s="17">
        <v>0.1</v>
      </c>
      <c r="P86" s="19">
        <v>0.25</v>
      </c>
      <c r="Q86" s="19">
        <v>0.55000000000000004</v>
      </c>
      <c r="R86" s="50">
        <f>IF((($B$7-($H86+$H$7))&lt;=0),(0+$I$7),(I86*($B$7-(H86+$H$7)))+($I$7))</f>
        <v>500</v>
      </c>
      <c r="S86" s="31">
        <f>((($B$3*F86)+($B$3*$C$3*G86))+(($B$4*N86)+($B$4*$C$4*O86))+(($B$5*P86)+($B$6*Q86)))</f>
        <v>45.537999999999997</v>
      </c>
      <c r="T86" s="43">
        <f>IF(((S86-C86)&lt;0),(B86+R86),(S86-C86+B86+R86))</f>
        <v>590</v>
      </c>
      <c r="U86" s="43">
        <f>IFERROR(T86,9999)</f>
        <v>590</v>
      </c>
      <c r="V86" s="44">
        <f>S86/C86</f>
        <v>0.50597777777777775</v>
      </c>
      <c r="W86" s="51">
        <f>IF(((C86-S86)&lt;0),0,C86-S86)</f>
        <v>44.462000000000003</v>
      </c>
      <c r="X86" s="19" t="str">
        <f>(IF((S86&lt;=C86),"NO","YES"))</f>
        <v>NO</v>
      </c>
      <c r="Y86" s="22">
        <f>RANK(U86,U:U,1)</f>
        <v>78</v>
      </c>
      <c r="Z86" s="19"/>
      <c r="AA86" s="19" t="s">
        <v>140</v>
      </c>
      <c r="AB86" s="19"/>
      <c r="AC86" s="19"/>
      <c r="AD86" s="19"/>
      <c r="AE86" s="19"/>
      <c r="AF86" s="19">
        <f>C86</f>
        <v>90</v>
      </c>
      <c r="AG86" s="19" t="s">
        <v>139</v>
      </c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</row>
    <row r="87" spans="1:44" ht="12.75" customHeight="1">
      <c r="A87" s="89" t="s">
        <v>163</v>
      </c>
      <c r="B87" s="17">
        <v>50</v>
      </c>
      <c r="C87" s="17">
        <v>500</v>
      </c>
      <c r="D87" s="17">
        <v>30</v>
      </c>
      <c r="E87" s="33">
        <f>B87/D87*30</f>
        <v>50</v>
      </c>
      <c r="F87" s="18">
        <v>0.4</v>
      </c>
      <c r="G87" s="17">
        <v>0.4</v>
      </c>
      <c r="H87" s="17">
        <v>0</v>
      </c>
      <c r="I87" s="17">
        <v>11</v>
      </c>
      <c r="J87" s="17" t="s">
        <v>139</v>
      </c>
      <c r="K87" s="39">
        <f>C87/B87</f>
        <v>10</v>
      </c>
      <c r="L87" s="35">
        <f>G87/((C87/B87))</f>
        <v>0.04</v>
      </c>
      <c r="M87" s="40">
        <f>F87/(C87/B87)</f>
        <v>0.04</v>
      </c>
      <c r="N87" s="18">
        <v>0.4</v>
      </c>
      <c r="O87" s="17">
        <v>0.4</v>
      </c>
      <c r="P87" s="19">
        <v>0.28999999999999998</v>
      </c>
      <c r="Q87" s="19">
        <v>0.8</v>
      </c>
      <c r="R87" s="50">
        <f>IF((($B$7-($H87+$H$7))&lt;=0),(0+$I$7),(I87*($B$7-(H87+$H$7)))+($I$7))</f>
        <v>550</v>
      </c>
      <c r="S87" s="31">
        <f>((($B$3*F87)+($B$3*$C$3*G87))+(($B$4*N87)+($B$4*$C$4*O87))+(($B$5*P87)+($B$6*Q87)))</f>
        <v>64.460000000000008</v>
      </c>
      <c r="T87" s="43">
        <f>IF(((S87-C87)&lt;0),(B87+R87),(S87-C87+B87+R87))</f>
        <v>600</v>
      </c>
      <c r="U87" s="43">
        <f>IFERROR(T87,9999)</f>
        <v>600</v>
      </c>
      <c r="V87" s="44">
        <f>S87/C87</f>
        <v>0.12892000000000001</v>
      </c>
      <c r="W87" s="51">
        <f>IF(((C87-S87)&lt;0),0,C87-S87)</f>
        <v>435.53999999999996</v>
      </c>
      <c r="X87" s="19" t="str">
        <f>(IF((S87&lt;=C87),"NO","YES"))</f>
        <v>NO</v>
      </c>
      <c r="Y87" s="22">
        <f>RANK(U87,U:U,1)</f>
        <v>79</v>
      </c>
      <c r="Z87" s="19"/>
      <c r="AA87" s="19" t="s">
        <v>12</v>
      </c>
      <c r="AB87" s="19" t="s">
        <v>157</v>
      </c>
      <c r="AC87" s="19" t="s">
        <v>26</v>
      </c>
      <c r="AD87" s="19" t="s">
        <v>157</v>
      </c>
      <c r="AE87" s="19" t="s">
        <v>139</v>
      </c>
      <c r="AF87" s="19" t="s">
        <v>157</v>
      </c>
      <c r="AG87" s="19" t="s">
        <v>157</v>
      </c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</row>
    <row r="88" spans="1:44" ht="12.75" customHeight="1">
      <c r="A88" s="66" t="s">
        <v>133</v>
      </c>
      <c r="B88" s="17">
        <v>120</v>
      </c>
      <c r="C88" s="17">
        <v>120</v>
      </c>
      <c r="D88" s="17">
        <v>30</v>
      </c>
      <c r="E88" s="33">
        <f>B88/D88*30</f>
        <v>120</v>
      </c>
      <c r="F88" s="18">
        <v>0.1</v>
      </c>
      <c r="G88" s="17">
        <v>0.2</v>
      </c>
      <c r="H88" s="17">
        <v>0</v>
      </c>
      <c r="I88" s="17">
        <v>10</v>
      </c>
      <c r="J88" s="17" t="s">
        <v>139</v>
      </c>
      <c r="K88" s="39">
        <f>C88/B88</f>
        <v>1</v>
      </c>
      <c r="L88" s="35">
        <f>G88/((C88/B88))</f>
        <v>0.2</v>
      </c>
      <c r="M88" s="40">
        <f>F88/(C88/B88)</f>
        <v>0.1</v>
      </c>
      <c r="N88" s="18">
        <v>0</v>
      </c>
      <c r="O88" s="17">
        <v>0.1</v>
      </c>
      <c r="P88" s="19">
        <v>0.25</v>
      </c>
      <c r="Q88" s="19">
        <v>0.55000000000000004</v>
      </c>
      <c r="R88" s="50">
        <f>IF((($B$7-($H88+$H$7))&lt;=0),(0+$I$7),(I88*($B$7-(H88+$H$7)))+($I$7))</f>
        <v>500</v>
      </c>
      <c r="S88" s="31">
        <f>((($B$3*F88)+($B$3*$C$3*G88))+(($B$4*N88)+($B$4*$C$4*O88))+(($B$5*P88)+($B$6*Q88)))</f>
        <v>45.129999999999995</v>
      </c>
      <c r="T88" s="43">
        <f>IF(((S88-C88)&lt;0),(B88+R88),(S88-C88+B88+R88))</f>
        <v>620</v>
      </c>
      <c r="U88" s="43">
        <f>IFERROR(T88,9999)</f>
        <v>620</v>
      </c>
      <c r="V88" s="44">
        <f>S88/C88</f>
        <v>0.37608333333333327</v>
      </c>
      <c r="W88" s="51">
        <f>IF(((C88-S88)&lt;0),0,C88-S88)</f>
        <v>74.87</v>
      </c>
      <c r="X88" s="19" t="str">
        <f>(IF((S88&lt;=C88),"NO","YES"))</f>
        <v>NO</v>
      </c>
      <c r="Y88" s="22">
        <f>RANK(U88,U:U,1)</f>
        <v>80</v>
      </c>
      <c r="Z88" s="19"/>
      <c r="AA88" s="19" t="s">
        <v>140</v>
      </c>
      <c r="AB88" s="19"/>
      <c r="AC88" s="19"/>
      <c r="AD88" s="19"/>
      <c r="AE88" s="19"/>
      <c r="AF88" s="19">
        <f>C88</f>
        <v>120</v>
      </c>
      <c r="AG88" s="19" t="s">
        <v>139</v>
      </c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</row>
    <row r="89" spans="1:44" ht="12.75" customHeight="1">
      <c r="A89" s="66" t="s">
        <v>104</v>
      </c>
      <c r="B89" s="17">
        <v>149</v>
      </c>
      <c r="C89" s="17">
        <v>1250</v>
      </c>
      <c r="D89" s="17">
        <v>30</v>
      </c>
      <c r="E89" s="33">
        <f>B89/D89*30</f>
        <v>149</v>
      </c>
      <c r="F89" s="17">
        <v>0.35</v>
      </c>
      <c r="G89" s="17">
        <v>0.78</v>
      </c>
      <c r="H89" s="17">
        <v>0</v>
      </c>
      <c r="I89" s="17">
        <v>10</v>
      </c>
      <c r="J89" s="17" t="s">
        <v>139</v>
      </c>
      <c r="K89" s="39">
        <f>C89/B89</f>
        <v>8.3892617449664435</v>
      </c>
      <c r="L89" s="35">
        <f>G89/((C89/B89))</f>
        <v>9.2976000000000003E-2</v>
      </c>
      <c r="M89" s="40">
        <f>F89/(C89/B89)</f>
        <v>4.1719999999999993E-2</v>
      </c>
      <c r="N89" s="19">
        <v>0.35</v>
      </c>
      <c r="O89" s="19">
        <v>0.78</v>
      </c>
      <c r="P89" s="19">
        <v>0.25</v>
      </c>
      <c r="Q89" s="19">
        <v>0.5</v>
      </c>
      <c r="R89" s="50">
        <f>IF((($B$7-($H89+$H$7))&lt;=0),(0+$I$7),(I89*($B$7-(H89+$H$7)))+($I$7))</f>
        <v>500</v>
      </c>
      <c r="S89" s="31">
        <f>((($B$3*F89)+($B$3*$C$3*G89))+(($B$4*N89)+($B$4*$C$4*O89))+(($B$5*P89)+($B$6*Q89)))</f>
        <v>64.412000000000006</v>
      </c>
      <c r="T89" s="43">
        <f>IF(((S89-C89)&lt;0),(B89+R89),(S89-C89+B89+R89))</f>
        <v>649</v>
      </c>
      <c r="U89" s="43">
        <f>IFERROR(T89,9999)</f>
        <v>649</v>
      </c>
      <c r="V89" s="44">
        <f>S89/C89</f>
        <v>5.1529600000000002E-2</v>
      </c>
      <c r="W89" s="51">
        <f>IF(((C89-S89)&lt;0),0,C89-S89)</f>
        <v>1185.588</v>
      </c>
      <c r="X89" s="19" t="str">
        <f>(IF((S89&lt;=C89),"NO","YES"))</f>
        <v>NO</v>
      </c>
      <c r="Y89" s="22">
        <f>RANK(U89,U:U,1)</f>
        <v>81</v>
      </c>
      <c r="Z89" s="19"/>
      <c r="AA89" s="20" t="s">
        <v>15</v>
      </c>
      <c r="AB89" s="19"/>
      <c r="AC89" s="20" t="s">
        <v>30</v>
      </c>
      <c r="AD89" s="20" t="s">
        <v>25</v>
      </c>
      <c r="AE89" s="19"/>
      <c r="AF89" s="19"/>
      <c r="AG89" s="19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</row>
    <row r="90" spans="1:44" ht="12.75" customHeight="1">
      <c r="A90" s="66" t="s">
        <v>87</v>
      </c>
      <c r="B90" s="17">
        <v>19</v>
      </c>
      <c r="C90" s="17">
        <v>50</v>
      </c>
      <c r="D90" s="17">
        <v>30</v>
      </c>
      <c r="E90" s="33">
        <f>B90/D90*30</f>
        <v>19</v>
      </c>
      <c r="F90" s="17">
        <v>0.35</v>
      </c>
      <c r="G90" s="17">
        <f>0.47*2</f>
        <v>0.94</v>
      </c>
      <c r="H90" s="17">
        <v>0</v>
      </c>
      <c r="I90" s="17">
        <v>15</v>
      </c>
      <c r="J90" s="17" t="s">
        <v>139</v>
      </c>
      <c r="K90" s="39">
        <f>C90/B90</f>
        <v>2.6315789473684212</v>
      </c>
      <c r="L90" s="35">
        <f>G90/((C90/B90))</f>
        <v>0.35719999999999996</v>
      </c>
      <c r="M90" s="40">
        <f>F90/(C90/B90)</f>
        <v>0.13299999999999998</v>
      </c>
      <c r="N90" s="19">
        <v>0</v>
      </c>
      <c r="O90" s="19">
        <v>0.6</v>
      </c>
      <c r="P90" s="19">
        <v>0.25</v>
      </c>
      <c r="Q90" s="19">
        <v>0.5</v>
      </c>
      <c r="R90" s="50">
        <f>IF((($B$7-($H90+$H$7))&lt;=0),(0+$I$7),(I90*($B$7-(H90+$H$7)))+($I$7))</f>
        <v>750</v>
      </c>
      <c r="S90" s="31">
        <f>((($B$3*F90)+($B$3*$C$3*G90))+(($B$4*N90)+($B$4*$C$4*O90))+(($B$5*P90)+($B$6*Q90)))</f>
        <v>67.676000000000002</v>
      </c>
      <c r="T90" s="43">
        <f>IF(((S90-C90)&lt;0),(B90+R90),(S90-C90+B90+R90))</f>
        <v>786.67600000000004</v>
      </c>
      <c r="U90" s="43">
        <f>IFERROR(T90,9999)</f>
        <v>786.67600000000004</v>
      </c>
      <c r="V90" s="44">
        <f>S90/C90</f>
        <v>1.3535200000000001</v>
      </c>
      <c r="W90" s="51">
        <f>IF(((C90-S90)&lt;0),0,C90-S90)</f>
        <v>0</v>
      </c>
      <c r="X90" s="19" t="str">
        <f>(IF((S90&lt;=C90),"NO","YES"))</f>
        <v>YES</v>
      </c>
      <c r="Y90" s="22">
        <f>RANK(U90,U:U,1)</f>
        <v>82</v>
      </c>
      <c r="Z90" s="19"/>
      <c r="AA90" s="20" t="s">
        <v>14</v>
      </c>
      <c r="AB90" s="20" t="s">
        <v>25</v>
      </c>
      <c r="AC90" s="20" t="s">
        <v>26</v>
      </c>
      <c r="AD90" s="20" t="s">
        <v>25</v>
      </c>
      <c r="AE90" s="19"/>
      <c r="AF90" s="20" t="s">
        <v>29</v>
      </c>
      <c r="AG90" s="20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</row>
    <row r="91" spans="1:44" ht="12.75" customHeight="1">
      <c r="A91" s="66" t="s">
        <v>88</v>
      </c>
      <c r="B91" s="17">
        <v>49</v>
      </c>
      <c r="C91" s="17">
        <v>300</v>
      </c>
      <c r="D91" s="17">
        <v>30</v>
      </c>
      <c r="E91" s="33">
        <f>B91/D91*30</f>
        <v>49</v>
      </c>
      <c r="F91" s="17">
        <v>0.35</v>
      </c>
      <c r="G91" s="17">
        <v>0.8</v>
      </c>
      <c r="H91" s="17">
        <v>0</v>
      </c>
      <c r="I91" s="17">
        <v>15</v>
      </c>
      <c r="J91" s="17" t="s">
        <v>139</v>
      </c>
      <c r="K91" s="39">
        <f>C91/B91</f>
        <v>6.1224489795918364</v>
      </c>
      <c r="L91" s="35">
        <f>G91/((C91/B91))</f>
        <v>0.13066666666666668</v>
      </c>
      <c r="M91" s="40">
        <f>F91/(C91/B91)</f>
        <v>5.7166666666666664E-2</v>
      </c>
      <c r="N91" s="19">
        <v>0</v>
      </c>
      <c r="O91" s="19">
        <v>0.6</v>
      </c>
      <c r="P91" s="19">
        <v>0.25</v>
      </c>
      <c r="Q91" s="19">
        <v>0.5</v>
      </c>
      <c r="R91" s="50">
        <f>IF((($B$7-($H91+$H$7))&lt;=0),(0+$I$7),(I91*($B$7-(H91+$H$7)))+($I$7))</f>
        <v>750</v>
      </c>
      <c r="S91" s="31">
        <f>((($B$3*F91)+($B$3*$C$3*G91))+(($B$4*N91)+($B$4*$C$4*O91))+(($B$5*P91)+($B$6*Q91)))</f>
        <v>64.820000000000007</v>
      </c>
      <c r="T91" s="43">
        <f>IF(((S91-C91)&lt;0),(B91+R91),(S91-C91+B91+R91))</f>
        <v>799</v>
      </c>
      <c r="U91" s="43">
        <f>IFERROR(T91,9999)</f>
        <v>799</v>
      </c>
      <c r="V91" s="44">
        <f>S91/C91</f>
        <v>0.21606666666666668</v>
      </c>
      <c r="W91" s="51">
        <f>IF(((C91-S91)&lt;0),0,C91-S91)</f>
        <v>235.18</v>
      </c>
      <c r="X91" s="19" t="str">
        <f>(IF((S91&lt;=C91),"NO","YES"))</f>
        <v>NO</v>
      </c>
      <c r="Y91" s="22">
        <f>RANK(U91,U:U,1)</f>
        <v>83</v>
      </c>
      <c r="Z91" s="19"/>
      <c r="AA91" s="20" t="s">
        <v>14</v>
      </c>
      <c r="AB91" s="20" t="s">
        <v>25</v>
      </c>
      <c r="AC91" s="20" t="s">
        <v>26</v>
      </c>
      <c r="AD91" s="20" t="s">
        <v>25</v>
      </c>
      <c r="AE91" s="19"/>
      <c r="AF91" s="20" t="s">
        <v>29</v>
      </c>
      <c r="AG91" s="20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</row>
    <row r="92" spans="1:44" ht="12.75" customHeight="1">
      <c r="A92" s="66" t="s">
        <v>88</v>
      </c>
      <c r="B92" s="17">
        <v>59</v>
      </c>
      <c r="C92" s="17">
        <v>350</v>
      </c>
      <c r="D92" s="17">
        <v>30</v>
      </c>
      <c r="E92" s="33">
        <f>B92/D92*30</f>
        <v>59</v>
      </c>
      <c r="F92" s="17">
        <v>0.35</v>
      </c>
      <c r="G92" s="17">
        <v>0.8</v>
      </c>
      <c r="H92" s="17">
        <v>0</v>
      </c>
      <c r="I92" s="17">
        <v>15</v>
      </c>
      <c r="J92" s="17" t="s">
        <v>139</v>
      </c>
      <c r="K92" s="39">
        <f>C92/B92</f>
        <v>5.9322033898305087</v>
      </c>
      <c r="L92" s="35">
        <f>G92/((C92/B92))</f>
        <v>0.13485714285714287</v>
      </c>
      <c r="M92" s="40">
        <f>F92/(C92/B92)</f>
        <v>5.8999999999999997E-2</v>
      </c>
      <c r="N92" s="19">
        <v>0</v>
      </c>
      <c r="O92" s="19">
        <v>0.6</v>
      </c>
      <c r="P92" s="19">
        <v>0.25</v>
      </c>
      <c r="Q92" s="19">
        <v>0.5</v>
      </c>
      <c r="R92" s="50">
        <f>IF((($B$7-($H92+$H$7))&lt;=0),(0+$I$7),(I92*($B$7-(H92+$H$7)))+($I$7))</f>
        <v>750</v>
      </c>
      <c r="S92" s="31">
        <f>((($B$3*F92)+($B$3*$C$3*G92))+(($B$4*N92)+($B$4*$C$4*O92))+(($B$5*P92)+($B$6*Q92)))</f>
        <v>64.820000000000007</v>
      </c>
      <c r="T92" s="43">
        <f>IF(((S92-C92)&lt;0),(B92+R92),(S92-C92+B92+R92))</f>
        <v>809</v>
      </c>
      <c r="U92" s="43">
        <f>IFERROR(T92,9999)</f>
        <v>809</v>
      </c>
      <c r="V92" s="44">
        <f>S92/C92</f>
        <v>0.18520000000000003</v>
      </c>
      <c r="W92" s="51">
        <f>IF(((C92-S92)&lt;0),0,C92-S92)</f>
        <v>285.18</v>
      </c>
      <c r="X92" s="19" t="str">
        <f>(IF((S92&lt;=C92),"NO","YES"))</f>
        <v>NO</v>
      </c>
      <c r="Y92" s="22">
        <f>RANK(U92,U:U,1)</f>
        <v>84</v>
      </c>
      <c r="Z92" s="19"/>
      <c r="AA92" s="20" t="s">
        <v>14</v>
      </c>
      <c r="AB92" s="20" t="s">
        <v>25</v>
      </c>
      <c r="AC92" s="20" t="s">
        <v>26</v>
      </c>
      <c r="AD92" s="20" t="s">
        <v>25</v>
      </c>
      <c r="AE92" s="19"/>
      <c r="AF92" s="20" t="s">
        <v>29</v>
      </c>
      <c r="AG92" s="20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</row>
    <row r="93" spans="1:44" ht="12.75" customHeight="1">
      <c r="A93" s="66" t="s">
        <v>89</v>
      </c>
      <c r="B93" s="17">
        <v>79</v>
      </c>
      <c r="C93" s="17">
        <v>550</v>
      </c>
      <c r="D93" s="17">
        <v>30</v>
      </c>
      <c r="E93" s="33">
        <f>B93/D93*30</f>
        <v>79</v>
      </c>
      <c r="F93" s="17">
        <v>0.35</v>
      </c>
      <c r="G93" s="17">
        <f>0.37*2</f>
        <v>0.74</v>
      </c>
      <c r="H93" s="17">
        <v>0</v>
      </c>
      <c r="I93" s="17">
        <v>15</v>
      </c>
      <c r="J93" s="17" t="s">
        <v>139</v>
      </c>
      <c r="K93" s="39">
        <f>C93/B93</f>
        <v>6.962025316455696</v>
      </c>
      <c r="L93" s="35">
        <f>G93/((C93/B93))</f>
        <v>0.10629090909090909</v>
      </c>
      <c r="M93" s="40">
        <f>F93/(C93/B93)</f>
        <v>5.0272727272727268E-2</v>
      </c>
      <c r="N93" s="19">
        <v>0</v>
      </c>
      <c r="O93" s="19">
        <v>0.6</v>
      </c>
      <c r="P93" s="19">
        <v>0.25</v>
      </c>
      <c r="Q93" s="19">
        <v>0.5</v>
      </c>
      <c r="R93" s="50">
        <f>IF((($B$7-($H93+$H$7))&lt;=0),(0+$I$7),(I93*($B$7-(H93+$H$7)))+($I$7))</f>
        <v>750</v>
      </c>
      <c r="S93" s="31">
        <f>((($B$3*F93)+($B$3*$C$3*G93))+(($B$4*N93)+($B$4*$C$4*O93))+(($B$5*P93)+($B$6*Q93)))</f>
        <v>63.596000000000004</v>
      </c>
      <c r="T93" s="43">
        <f>IF(((S93-C93)&lt;0),(B93+R93),(S93-C93+B93+R93))</f>
        <v>829</v>
      </c>
      <c r="U93" s="43">
        <f>IFERROR(T93,9999)</f>
        <v>829</v>
      </c>
      <c r="V93" s="44">
        <f>S93/C93</f>
        <v>0.11562909090909092</v>
      </c>
      <c r="W93" s="51">
        <f>IF(((C93-S93)&lt;0),0,C93-S93)</f>
        <v>486.404</v>
      </c>
      <c r="X93" s="19" t="str">
        <f>(IF((S93&lt;=C93),"NO","YES"))</f>
        <v>NO</v>
      </c>
      <c r="Y93" s="22">
        <f>RANK(U93,U:U,1)</f>
        <v>85</v>
      </c>
      <c r="Z93" s="19"/>
      <c r="AA93" s="20" t="s">
        <v>14</v>
      </c>
      <c r="AB93" s="20" t="s">
        <v>25</v>
      </c>
      <c r="AC93" s="20" t="s">
        <v>26</v>
      </c>
      <c r="AD93" s="20" t="s">
        <v>25</v>
      </c>
      <c r="AE93" s="19"/>
      <c r="AF93" s="20" t="s">
        <v>29</v>
      </c>
      <c r="AG93" s="20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</row>
    <row r="94" spans="1:44" ht="12.75" customHeight="1">
      <c r="A94" s="66" t="s">
        <v>37</v>
      </c>
      <c r="B94" s="17">
        <v>29</v>
      </c>
      <c r="C94" s="17">
        <v>100</v>
      </c>
      <c r="D94" s="17">
        <v>30</v>
      </c>
      <c r="E94" s="33">
        <f>B94/D94*30</f>
        <v>29</v>
      </c>
      <c r="F94" s="18">
        <v>0.35</v>
      </c>
      <c r="G94" s="17">
        <v>0.7</v>
      </c>
      <c r="H94" s="17">
        <v>0</v>
      </c>
      <c r="I94" s="17">
        <v>22</v>
      </c>
      <c r="J94" s="17" t="s">
        <v>139</v>
      </c>
      <c r="K94" s="39">
        <f>C94/B94</f>
        <v>3.4482758620689653</v>
      </c>
      <c r="L94" s="35">
        <f>G94/((C94/B94))</f>
        <v>0.20299999999999999</v>
      </c>
      <c r="M94" s="40">
        <f>F94/(C94/B94)</f>
        <v>0.10149999999999999</v>
      </c>
      <c r="N94" s="18">
        <v>0</v>
      </c>
      <c r="O94" s="17">
        <v>0.7</v>
      </c>
      <c r="P94" s="19">
        <v>0.25</v>
      </c>
      <c r="Q94" s="19">
        <v>0.75</v>
      </c>
      <c r="R94" s="50">
        <f>IF((($B$7-($H94+$H$7))&lt;=0),(0+$I$7),(I94*($B$7-(H94+$H$7)))+($I$7))</f>
        <v>1100</v>
      </c>
      <c r="S94" s="31">
        <f>((($B$3*F94)+($B$3*$C$3*G94))+(($B$4*N94)+($B$4*$C$4*O94))+(($B$5*P94)+($B$6*Q94)))</f>
        <v>63.03</v>
      </c>
      <c r="T94" s="43">
        <f>IF(((S94-C94)&lt;0),(B94+R94),(S94-C94+B94+R94))</f>
        <v>1129</v>
      </c>
      <c r="U94" s="43">
        <f>IFERROR(T94,9999)</f>
        <v>1129</v>
      </c>
      <c r="V94" s="44">
        <f>S94/C94</f>
        <v>0.63029999999999997</v>
      </c>
      <c r="W94" s="51">
        <f>IF(((C94-S94)&lt;0),0,C94-S94)</f>
        <v>36.97</v>
      </c>
      <c r="X94" s="19" t="str">
        <f>(IF((S94&lt;=C94),"NO","YES"))</f>
        <v>NO</v>
      </c>
      <c r="Y94" s="22">
        <f>RANK(U94,U:U,1)</f>
        <v>86</v>
      </c>
      <c r="Z94" s="19"/>
      <c r="AA94" s="20"/>
      <c r="AB94" s="19"/>
      <c r="AC94" s="19"/>
      <c r="AD94" s="20" t="s">
        <v>25</v>
      </c>
      <c r="AE94" s="19"/>
      <c r="AF94" s="19"/>
      <c r="AG94" s="19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</row>
    <row r="95" spans="1:44" ht="12.75" customHeight="1">
      <c r="A95" s="66" t="s">
        <v>90</v>
      </c>
      <c r="B95" s="17">
        <v>30</v>
      </c>
      <c r="C95" s="17">
        <v>300</v>
      </c>
      <c r="D95" s="17">
        <v>30</v>
      </c>
      <c r="E95" s="33">
        <f>B95/D95*30</f>
        <v>30</v>
      </c>
      <c r="F95" s="17">
        <v>0.35</v>
      </c>
      <c r="G95" s="17">
        <v>0.78</v>
      </c>
      <c r="H95" s="17">
        <v>0</v>
      </c>
      <c r="I95" s="17">
        <v>22</v>
      </c>
      <c r="J95" s="17" t="s">
        <v>139</v>
      </c>
      <c r="K95" s="39">
        <f>C95/B95</f>
        <v>10</v>
      </c>
      <c r="L95" s="35">
        <f>G95/((C95/B95))</f>
        <v>7.8E-2</v>
      </c>
      <c r="M95" s="40">
        <f>F95/(C95/B95)</f>
        <v>3.4999999999999996E-2</v>
      </c>
      <c r="N95" s="19">
        <v>0</v>
      </c>
      <c r="O95" s="19">
        <v>0.4</v>
      </c>
      <c r="P95" s="19">
        <v>0.25</v>
      </c>
      <c r="Q95" s="19">
        <v>0.75</v>
      </c>
      <c r="R95" s="50">
        <f>IF((($B$7-($H95+$H$7))&lt;=0),(0+$I$7),(I95*($B$7-(H95+$H$7)))+($I$7))</f>
        <v>1100</v>
      </c>
      <c r="S95" s="31">
        <f>((($B$3*F95)+($B$3*$C$3*G95))+(($B$4*N95)+($B$4*$C$4*O95))+(($B$5*P95)+($B$6*Q95)))</f>
        <v>64.662000000000006</v>
      </c>
      <c r="T95" s="43">
        <f>IF(((S95-C95)&lt;0),(B95+R95),(S95-C95+B95+R95))</f>
        <v>1130</v>
      </c>
      <c r="U95" s="43">
        <f>IFERROR(T95,9999)</f>
        <v>1130</v>
      </c>
      <c r="V95" s="44">
        <f>S95/C95</f>
        <v>0.21554000000000001</v>
      </c>
      <c r="W95" s="51">
        <f>IF(((C95-S95)&lt;0),0,C95-S95)</f>
        <v>235.33799999999999</v>
      </c>
      <c r="X95" s="19" t="str">
        <f>(IF((S95&lt;=C95),"NO","YES"))</f>
        <v>NO</v>
      </c>
      <c r="Y95" s="22">
        <f>RANK(U95,U:U,1)</f>
        <v>87</v>
      </c>
      <c r="Z95" s="19"/>
      <c r="AA95" s="20" t="s">
        <v>14</v>
      </c>
      <c r="AB95" s="20" t="s">
        <v>25</v>
      </c>
      <c r="AC95" s="20" t="s">
        <v>30</v>
      </c>
      <c r="AD95" s="20" t="s">
        <v>25</v>
      </c>
      <c r="AE95" s="19"/>
      <c r="AF95" s="20">
        <v>30</v>
      </c>
      <c r="AG95" s="20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</row>
    <row r="96" spans="1:44" ht="12.75" customHeight="1">
      <c r="A96" s="66" t="s">
        <v>37</v>
      </c>
      <c r="B96" s="17">
        <v>49</v>
      </c>
      <c r="C96" s="17">
        <v>240</v>
      </c>
      <c r="D96" s="17">
        <v>30</v>
      </c>
      <c r="E96" s="33">
        <f>B96/D96*30</f>
        <v>49</v>
      </c>
      <c r="F96" s="18">
        <v>0.35</v>
      </c>
      <c r="G96" s="17">
        <v>0.7</v>
      </c>
      <c r="H96" s="17">
        <v>0</v>
      </c>
      <c r="I96" s="17">
        <v>22</v>
      </c>
      <c r="J96" s="17" t="s">
        <v>139</v>
      </c>
      <c r="K96" s="39">
        <f>C96/B96</f>
        <v>4.8979591836734695</v>
      </c>
      <c r="L96" s="35">
        <f>G96/((C96/B96))</f>
        <v>0.14291666666666666</v>
      </c>
      <c r="M96" s="40">
        <f>F96/(C96/B96)</f>
        <v>7.1458333333333332E-2</v>
      </c>
      <c r="N96" s="18">
        <v>0</v>
      </c>
      <c r="O96" s="17">
        <v>0.7</v>
      </c>
      <c r="P96" s="19">
        <v>0.25</v>
      </c>
      <c r="Q96" s="19">
        <v>0.75</v>
      </c>
      <c r="R96" s="50">
        <f>IF((($B$7-($H96+$H$7))&lt;=0),(0+$I$7),(I96*($B$7-(H96+$H$7)))+($I$7))</f>
        <v>1100</v>
      </c>
      <c r="S96" s="31">
        <f>((($B$3*F96)+($B$3*$C$3*G96))+(($B$4*N96)+($B$4*$C$4*O96))+(($B$5*P96)+($B$6*Q96)))</f>
        <v>63.03</v>
      </c>
      <c r="T96" s="43">
        <f>IF(((S96-C96)&lt;0),(B96+R96),(S96-C96+B96+R96))</f>
        <v>1149</v>
      </c>
      <c r="U96" s="43">
        <f>IFERROR(T96,9999)</f>
        <v>1149</v>
      </c>
      <c r="V96" s="44">
        <f>S96/C96</f>
        <v>0.262625</v>
      </c>
      <c r="W96" s="51">
        <f>IF(((C96-S96)&lt;0),0,C96-S96)</f>
        <v>176.97</v>
      </c>
      <c r="X96" s="19" t="str">
        <f>(IF((S96&lt;=C96),"NO","YES"))</f>
        <v>NO</v>
      </c>
      <c r="Y96" s="22">
        <f>RANK(U96,U:U,1)</f>
        <v>88</v>
      </c>
      <c r="Z96" s="19"/>
      <c r="AA96" s="20"/>
      <c r="AB96" s="19"/>
      <c r="AC96" s="19"/>
      <c r="AD96" s="20" t="s">
        <v>25</v>
      </c>
      <c r="AE96" s="19"/>
      <c r="AF96" s="19"/>
      <c r="AG96" s="19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</row>
    <row r="97" spans="1:44" ht="12.75" customHeight="1">
      <c r="A97" s="66" t="s">
        <v>37</v>
      </c>
      <c r="B97" s="17">
        <v>69</v>
      </c>
      <c r="C97" s="17">
        <v>500</v>
      </c>
      <c r="D97" s="17">
        <v>30</v>
      </c>
      <c r="E97" s="33">
        <f>B97/D97*30</f>
        <v>69</v>
      </c>
      <c r="F97" s="18">
        <v>0.35</v>
      </c>
      <c r="G97" s="17">
        <v>0.7</v>
      </c>
      <c r="H97" s="17">
        <v>0</v>
      </c>
      <c r="I97" s="17">
        <v>22</v>
      </c>
      <c r="J97" s="17" t="s">
        <v>139</v>
      </c>
      <c r="K97" s="39">
        <f>C97/B97</f>
        <v>7.2463768115942031</v>
      </c>
      <c r="L97" s="35">
        <f>G97/((C97/B97))</f>
        <v>9.6599999999999991E-2</v>
      </c>
      <c r="M97" s="40">
        <f>F97/(C97/B97)</f>
        <v>4.8299999999999996E-2</v>
      </c>
      <c r="N97" s="18">
        <v>0</v>
      </c>
      <c r="O97" s="17">
        <v>0.7</v>
      </c>
      <c r="P97" s="19">
        <v>0.25</v>
      </c>
      <c r="Q97" s="19">
        <v>0.75</v>
      </c>
      <c r="R97" s="50">
        <f>IF((($B$7-($H97+$H$7))&lt;=0),(0+$I$7),(I97*($B$7-(H97+$H$7)))+($I$7))</f>
        <v>1100</v>
      </c>
      <c r="S97" s="31">
        <f>((($B$3*F97)+($B$3*$C$3*G97))+(($B$4*N97)+($B$4*$C$4*O97))+(($B$5*P97)+($B$6*Q97)))</f>
        <v>63.03</v>
      </c>
      <c r="T97" s="43">
        <f>IF(((S97-C97)&lt;0),(B97+R97),(S97-C97+B97+R97))</f>
        <v>1169</v>
      </c>
      <c r="U97" s="43">
        <f>IFERROR(T97,9999)</f>
        <v>1169</v>
      </c>
      <c r="V97" s="44">
        <f>S97/C97</f>
        <v>0.12606000000000001</v>
      </c>
      <c r="W97" s="51">
        <f>IF(((C97-S97)&lt;0),0,C97-S97)</f>
        <v>436.97</v>
      </c>
      <c r="X97" s="19" t="str">
        <f>(IF((S97&lt;=C97),"NO","YES"))</f>
        <v>NO</v>
      </c>
      <c r="Y97" s="22">
        <f>RANK(U97,U:U,1)</f>
        <v>89</v>
      </c>
      <c r="Z97" s="19"/>
      <c r="AA97" s="20"/>
      <c r="AB97" s="19"/>
      <c r="AC97" s="19"/>
      <c r="AD97" s="20" t="s">
        <v>25</v>
      </c>
      <c r="AE97" s="19"/>
      <c r="AF97" s="19"/>
      <c r="AG97" s="19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</row>
    <row r="98" spans="1:44" ht="12.75" customHeight="1">
      <c r="A98" s="66" t="s">
        <v>86</v>
      </c>
      <c r="B98" s="17">
        <v>100</v>
      </c>
      <c r="C98" s="17">
        <v>100</v>
      </c>
      <c r="D98" s="17">
        <v>90</v>
      </c>
      <c r="E98" s="33">
        <f>B98/D98*30</f>
        <v>33.333333333333336</v>
      </c>
      <c r="F98" s="18">
        <v>0.25</v>
      </c>
      <c r="G98" s="17">
        <v>0.3</v>
      </c>
      <c r="H98" s="17">
        <v>0</v>
      </c>
      <c r="I98" s="17" t="s">
        <v>125</v>
      </c>
      <c r="J98" s="17" t="s">
        <v>139</v>
      </c>
      <c r="K98" s="39">
        <f>C98/B98</f>
        <v>1</v>
      </c>
      <c r="L98" s="35">
        <f>G98/((C98/B98))</f>
        <v>0.3</v>
      </c>
      <c r="M98" s="40">
        <f>F98/(C98/B98)</f>
        <v>0.25</v>
      </c>
      <c r="N98" s="19">
        <f>F98</f>
        <v>0.25</v>
      </c>
      <c r="O98" s="19">
        <f>G98</f>
        <v>0.3</v>
      </c>
      <c r="P98" s="19">
        <v>0.19</v>
      </c>
      <c r="Q98" s="19">
        <v>0.45</v>
      </c>
      <c r="R98" s="50" t="e">
        <f>IF((($B$7-($H98+$H$7))&lt;=0),(0+$I$7),(I98*($B$7-(H98+$H$7)))+($I$7))</f>
        <v>#VALUE!</v>
      </c>
      <c r="S98" s="31">
        <f>((($B$3*F98)+($B$3*$C$3*G98))+(($B$4*N98)+($B$4*$C$4*O98))+(($B$5*P98)+($B$6*Q98)))</f>
        <v>42.57</v>
      </c>
      <c r="T98" s="43" t="e">
        <f>IF(((S98-C98)&lt;0),(B98+R98),(S98-C98+B98+R98))</f>
        <v>#VALUE!</v>
      </c>
      <c r="U98" s="43">
        <f>IFERROR(T98,9999)</f>
        <v>9999</v>
      </c>
      <c r="V98" s="44">
        <f>S98/C98</f>
        <v>0.42570000000000002</v>
      </c>
      <c r="W98" s="51">
        <f>IF(((C98-S98)&lt;0),0,C98-S98)</f>
        <v>57.43</v>
      </c>
      <c r="X98" s="19" t="str">
        <f>(IF((S98&lt;=C98),"NO","YES"))</f>
        <v>NO</v>
      </c>
      <c r="Y98" s="22">
        <f>RANK(U98,U:U,1)</f>
        <v>90</v>
      </c>
      <c r="Z98" s="19"/>
      <c r="AA98" s="20"/>
      <c r="AB98" s="20"/>
      <c r="AC98" s="19"/>
      <c r="AD98" s="20"/>
      <c r="AE98" s="19"/>
      <c r="AF98" s="20"/>
      <c r="AG98" s="20"/>
      <c r="AJ98" s="1"/>
      <c r="AK98" s="1"/>
      <c r="AL98" s="1"/>
      <c r="AM98" s="1"/>
      <c r="AN98" s="1"/>
      <c r="AO98" s="1"/>
      <c r="AP98" s="1"/>
      <c r="AQ98" s="1"/>
      <c r="AR98" s="1"/>
    </row>
    <row r="99" spans="1:44" ht="12.75" customHeight="1">
      <c r="A99" s="66" t="s">
        <v>83</v>
      </c>
      <c r="B99" s="17">
        <v>15</v>
      </c>
      <c r="C99" s="17">
        <v>15</v>
      </c>
      <c r="D99" s="17">
        <v>60</v>
      </c>
      <c r="E99" s="33">
        <f>B99/D99*30</f>
        <v>7.5</v>
      </c>
      <c r="F99" s="18">
        <v>0.25</v>
      </c>
      <c r="G99" s="17">
        <v>0.3</v>
      </c>
      <c r="H99" s="17">
        <v>0</v>
      </c>
      <c r="I99" s="17" t="s">
        <v>125</v>
      </c>
      <c r="J99" s="17" t="s">
        <v>139</v>
      </c>
      <c r="K99" s="39">
        <f>C99/B99</f>
        <v>1</v>
      </c>
      <c r="L99" s="35">
        <f>G99/((C99/B99))</f>
        <v>0.3</v>
      </c>
      <c r="M99" s="40">
        <f>F99/(C99/B99)</f>
        <v>0.25</v>
      </c>
      <c r="N99" s="19">
        <f>F99</f>
        <v>0.25</v>
      </c>
      <c r="O99" s="19">
        <f>G99</f>
        <v>0.3</v>
      </c>
      <c r="P99" s="19">
        <v>0.19</v>
      </c>
      <c r="Q99" s="19">
        <v>0.45</v>
      </c>
      <c r="R99" s="50" t="e">
        <f>IF((($B$7-($H99+$H$7))&lt;=0),(0+$I$7),(I99*($B$7-(H99+$H$7)))+($I$7))</f>
        <v>#VALUE!</v>
      </c>
      <c r="S99" s="31">
        <f>((($B$3*F99)+($B$3*$C$3*G99))+(($B$4*N99)+($B$4*$C$4*O99))+(($B$5*P99)+($B$6*Q99)))</f>
        <v>42.57</v>
      </c>
      <c r="T99" s="43" t="e">
        <f>IF(((S99-C99)&lt;0),(B99+R99),(S99-C99+B99+R99))</f>
        <v>#VALUE!</v>
      </c>
      <c r="U99" s="43">
        <f>IFERROR(T99,9999)</f>
        <v>9999</v>
      </c>
      <c r="V99" s="44">
        <f>S99/C99</f>
        <v>2.8380000000000001</v>
      </c>
      <c r="W99" s="51">
        <f>IF(((C99-S99)&lt;0),0,C99-S99)</f>
        <v>0</v>
      </c>
      <c r="X99" s="19" t="str">
        <f>(IF((S99&lt;=C99),"NO","YES"))</f>
        <v>YES</v>
      </c>
      <c r="Y99" s="22">
        <f>RANK(U99,U:U,1)</f>
        <v>90</v>
      </c>
      <c r="Z99" s="19"/>
      <c r="AA99" s="20"/>
      <c r="AB99" s="20"/>
      <c r="AC99" s="19"/>
      <c r="AD99" s="20"/>
      <c r="AE99" s="19"/>
      <c r="AF99" s="20"/>
      <c r="AG99" s="20"/>
      <c r="AJ99" s="1"/>
      <c r="AK99" s="1"/>
      <c r="AL99" s="1"/>
      <c r="AM99" s="1"/>
      <c r="AN99" s="1"/>
      <c r="AO99" s="1"/>
      <c r="AP99" s="1"/>
      <c r="AQ99" s="1"/>
      <c r="AR99" s="1"/>
    </row>
    <row r="100" spans="1:44" ht="12.75" customHeight="1">
      <c r="A100" s="66" t="s">
        <v>84</v>
      </c>
      <c r="B100" s="17">
        <v>30</v>
      </c>
      <c r="C100" s="17">
        <v>30</v>
      </c>
      <c r="D100" s="17">
        <v>60</v>
      </c>
      <c r="E100" s="33">
        <f>B100/D100*30</f>
        <v>15</v>
      </c>
      <c r="F100" s="18">
        <v>0.25</v>
      </c>
      <c r="G100" s="17">
        <v>0.3</v>
      </c>
      <c r="H100" s="17">
        <v>0</v>
      </c>
      <c r="I100" s="17" t="s">
        <v>125</v>
      </c>
      <c r="J100" s="17" t="s">
        <v>139</v>
      </c>
      <c r="K100" s="39">
        <f>C100/B100</f>
        <v>1</v>
      </c>
      <c r="L100" s="35">
        <f>G100/((C100/B100))</f>
        <v>0.3</v>
      </c>
      <c r="M100" s="40">
        <f>F100/(C100/B100)</f>
        <v>0.25</v>
      </c>
      <c r="N100" s="19">
        <f>F100</f>
        <v>0.25</v>
      </c>
      <c r="O100" s="19">
        <f>G100</f>
        <v>0.3</v>
      </c>
      <c r="P100" s="19">
        <v>0.19</v>
      </c>
      <c r="Q100" s="19">
        <v>0.45</v>
      </c>
      <c r="R100" s="50" t="e">
        <f>IF((($B$7-($H100+$H$7))&lt;=0),(0+$I$7),(I100*($B$7-(H100+$H$7)))+($I$7))</f>
        <v>#VALUE!</v>
      </c>
      <c r="S100" s="31">
        <f>((($B$3*F100)+($B$3*$C$3*G100))+(($B$4*N100)+($B$4*$C$4*O100))+(($B$5*P100)+($B$6*Q100)))</f>
        <v>42.57</v>
      </c>
      <c r="T100" s="43" t="e">
        <f>IF(((S100-C100)&lt;0),(B100+R100),(S100-C100+B100+R100))</f>
        <v>#VALUE!</v>
      </c>
      <c r="U100" s="43">
        <f>IFERROR(T100,9999)</f>
        <v>9999</v>
      </c>
      <c r="V100" s="44">
        <f>S100/C100</f>
        <v>1.419</v>
      </c>
      <c r="W100" s="51">
        <f>IF(((C100-S100)&lt;0),0,C100-S100)</f>
        <v>0</v>
      </c>
      <c r="X100" s="19" t="str">
        <f>(IF((S100&lt;=C100),"NO","YES"))</f>
        <v>YES</v>
      </c>
      <c r="Y100" s="22">
        <f>RANK(U100,U:U,1)</f>
        <v>90</v>
      </c>
      <c r="Z100" s="19"/>
      <c r="AA100" s="20"/>
      <c r="AB100" s="20"/>
      <c r="AC100" s="19"/>
      <c r="AD100" s="20"/>
      <c r="AE100" s="19"/>
      <c r="AF100" s="20"/>
      <c r="AG100" s="20"/>
      <c r="AJ100" s="1"/>
      <c r="AK100" s="1"/>
      <c r="AL100" s="1"/>
      <c r="AM100" s="1"/>
      <c r="AN100" s="1"/>
      <c r="AO100" s="1"/>
      <c r="AP100" s="1"/>
      <c r="AQ100" s="1"/>
      <c r="AR100" s="1"/>
    </row>
    <row r="101" spans="1:44" ht="12.75" customHeight="1">
      <c r="A101" s="66" t="s">
        <v>85</v>
      </c>
      <c r="B101" s="17">
        <v>50</v>
      </c>
      <c r="C101" s="17">
        <v>50</v>
      </c>
      <c r="D101" s="17">
        <v>90</v>
      </c>
      <c r="E101" s="33">
        <f>B101/D101*30</f>
        <v>16.666666666666668</v>
      </c>
      <c r="F101" s="18">
        <v>0.25</v>
      </c>
      <c r="G101" s="17">
        <v>0.3</v>
      </c>
      <c r="H101" s="17">
        <v>0</v>
      </c>
      <c r="I101" s="17" t="s">
        <v>125</v>
      </c>
      <c r="J101" s="17" t="s">
        <v>139</v>
      </c>
      <c r="K101" s="39">
        <f>C101/B101</f>
        <v>1</v>
      </c>
      <c r="L101" s="35">
        <f>G101/((C101/B101))</f>
        <v>0.3</v>
      </c>
      <c r="M101" s="40">
        <f>F101/(C101/B101)</f>
        <v>0.25</v>
      </c>
      <c r="N101" s="19">
        <f>F101</f>
        <v>0.25</v>
      </c>
      <c r="O101" s="19">
        <f>G101</f>
        <v>0.3</v>
      </c>
      <c r="P101" s="19">
        <v>0.19</v>
      </c>
      <c r="Q101" s="19">
        <v>0.45</v>
      </c>
      <c r="R101" s="50" t="e">
        <f>IF((($B$7-($H101+$H$7))&lt;=0),(0+$I$7),(I101*($B$7-(H101+$H$7)))+($I$7))</f>
        <v>#VALUE!</v>
      </c>
      <c r="S101" s="31">
        <f>((($B$3*F101)+($B$3*$C$3*G101))+(($B$4*N101)+($B$4*$C$4*O101))+(($B$5*P101)+($B$6*Q101)))</f>
        <v>42.57</v>
      </c>
      <c r="T101" s="43" t="e">
        <f>IF(((S101-C101)&lt;0),(B101+R101),(S101-C101+B101+R101))</f>
        <v>#VALUE!</v>
      </c>
      <c r="U101" s="43">
        <f>IFERROR(T101,9999)</f>
        <v>9999</v>
      </c>
      <c r="V101" s="44">
        <f>S101/C101</f>
        <v>0.85140000000000005</v>
      </c>
      <c r="W101" s="51">
        <f>IF(((C101-S101)&lt;0),0,C101-S101)</f>
        <v>7.43</v>
      </c>
      <c r="X101" s="19" t="str">
        <f>(IF((S101&lt;=C101),"NO","YES"))</f>
        <v>NO</v>
      </c>
      <c r="Y101" s="22">
        <f>RANK(U101,U:U,1)</f>
        <v>90</v>
      </c>
      <c r="Z101" s="19"/>
      <c r="AA101" s="20"/>
      <c r="AB101" s="20"/>
      <c r="AC101" s="19"/>
      <c r="AD101" s="20"/>
      <c r="AE101" s="19"/>
      <c r="AF101" s="20"/>
      <c r="AG101" s="20"/>
      <c r="AJ101" s="1"/>
      <c r="AK101" s="1"/>
      <c r="AL101" s="1"/>
      <c r="AM101" s="1"/>
      <c r="AN101" s="1"/>
      <c r="AO101" s="1"/>
      <c r="AP101" s="1"/>
      <c r="AQ101" s="1"/>
      <c r="AR101" s="1"/>
    </row>
    <row r="102" spans="1:44" ht="12.75" customHeight="1">
      <c r="A102" s="66" t="s">
        <v>142</v>
      </c>
      <c r="B102" s="17">
        <v>15</v>
      </c>
      <c r="C102" s="17">
        <v>50</v>
      </c>
      <c r="D102" s="17">
        <v>30</v>
      </c>
      <c r="E102" s="33">
        <f>B102/D102*30</f>
        <v>15</v>
      </c>
      <c r="F102" s="17">
        <v>0.35</v>
      </c>
      <c r="G102" s="17">
        <f>0.44*2</f>
        <v>0.88</v>
      </c>
      <c r="H102" s="17">
        <v>15</v>
      </c>
      <c r="I102" s="17" t="s">
        <v>125</v>
      </c>
      <c r="J102" s="17" t="s">
        <v>139</v>
      </c>
      <c r="K102" s="39">
        <f>C102/B102</f>
        <v>3.3333333333333335</v>
      </c>
      <c r="L102" s="35">
        <f>G102/((C102/B102))</f>
        <v>0.26400000000000001</v>
      </c>
      <c r="M102" s="40">
        <f>F102/(C102/B102)</f>
        <v>0.10499999999999998</v>
      </c>
      <c r="N102" s="19">
        <v>0</v>
      </c>
      <c r="O102" s="19">
        <f>G102</f>
        <v>0.88</v>
      </c>
      <c r="P102" s="19">
        <v>0.25</v>
      </c>
      <c r="Q102" s="19">
        <v>0.5</v>
      </c>
      <c r="R102" s="50" t="e">
        <f>IF((($B$7-($H102+$H$7))&lt;=0),(0+$I$7),(I102*($B$7-(H102+$H$7)))+($I$7))</f>
        <v>#VALUE!</v>
      </c>
      <c r="S102" s="31">
        <f>((($B$3*F102)+($B$3*$C$3*G102))+(($B$4*N102)+($B$4*$C$4*O102))+(($B$5*P102)+($B$6*Q102)))</f>
        <v>66.451999999999998</v>
      </c>
      <c r="T102" s="43" t="e">
        <f>IF(((S102-C102)&lt;0),(B102+R102),(S102-C102+B102+R102))</f>
        <v>#VALUE!</v>
      </c>
      <c r="U102" s="43">
        <f>IFERROR(T102,9999)</f>
        <v>9999</v>
      </c>
      <c r="V102" s="44">
        <f>S102/C102</f>
        <v>1.32904</v>
      </c>
      <c r="W102" s="51">
        <f>IF(((C102-S102)&lt;0),0,C102-S102)</f>
        <v>0</v>
      </c>
      <c r="X102" s="19" t="str">
        <f>(IF((S102&lt;=C102),"NO","YES"))</f>
        <v>YES</v>
      </c>
      <c r="Y102" s="22">
        <f>RANK(U102,U:U,1)</f>
        <v>90</v>
      </c>
      <c r="Z102" s="19"/>
      <c r="AA102" s="20" t="s">
        <v>14</v>
      </c>
      <c r="AB102" s="19"/>
      <c r="AC102" s="20" t="s">
        <v>26</v>
      </c>
      <c r="AD102" s="20" t="s">
        <v>25</v>
      </c>
      <c r="AE102" s="19"/>
      <c r="AF102" s="19"/>
      <c r="AG102" s="19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</row>
    <row r="103" spans="1:44" ht="12.75" customHeight="1">
      <c r="A103" s="66" t="s">
        <v>143</v>
      </c>
      <c r="B103" s="17">
        <v>25</v>
      </c>
      <c r="C103" s="17">
        <v>125</v>
      </c>
      <c r="D103" s="17">
        <v>30</v>
      </c>
      <c r="E103" s="33">
        <f>B103/D103*30</f>
        <v>25</v>
      </c>
      <c r="F103" s="17">
        <v>0.35</v>
      </c>
      <c r="G103" s="17">
        <v>0.88</v>
      </c>
      <c r="H103" s="17">
        <v>25</v>
      </c>
      <c r="I103" s="17" t="s">
        <v>125</v>
      </c>
      <c r="J103" s="17" t="s">
        <v>139</v>
      </c>
      <c r="K103" s="39">
        <f>C103/B103</f>
        <v>5</v>
      </c>
      <c r="L103" s="35">
        <f>G103/((C103/B103))</f>
        <v>0.17599999999999999</v>
      </c>
      <c r="M103" s="40">
        <f>F103/(C103/B103)</f>
        <v>6.9999999999999993E-2</v>
      </c>
      <c r="N103" s="19">
        <v>0</v>
      </c>
      <c r="O103" s="19">
        <f>G103</f>
        <v>0.88</v>
      </c>
      <c r="P103" s="19">
        <v>0.25</v>
      </c>
      <c r="Q103" s="19">
        <v>0.5</v>
      </c>
      <c r="R103" s="50" t="e">
        <f>IF((($B$7-($H103+$H$7))&lt;=0),(0+$I$7),(I103*($B$7-(H103+$H$7)))+($I$7))</f>
        <v>#VALUE!</v>
      </c>
      <c r="S103" s="31">
        <f>((($B$3*F103)+($B$3*$C$3*G103))+(($B$4*N103)+($B$4*$C$4*O103))+(($B$5*P103)+($B$6*Q103)))</f>
        <v>66.451999999999998</v>
      </c>
      <c r="T103" s="43" t="e">
        <f>IF(((S103-C103)&lt;0),(B103+R103),(S103-C103+B103+R103))</f>
        <v>#VALUE!</v>
      </c>
      <c r="U103" s="43">
        <f>IFERROR(T103,9999)</f>
        <v>9999</v>
      </c>
      <c r="V103" s="44">
        <f>S103/C103</f>
        <v>0.53161599999999998</v>
      </c>
      <c r="W103" s="51">
        <f>IF(((C103-S103)&lt;0),0,C103-S103)</f>
        <v>58.548000000000002</v>
      </c>
      <c r="X103" s="19" t="str">
        <f>(IF((S103&lt;=C103),"NO","YES"))</f>
        <v>NO</v>
      </c>
      <c r="Y103" s="22">
        <f>RANK(U103,U:U,1)</f>
        <v>90</v>
      </c>
      <c r="Z103" s="19"/>
      <c r="AA103" s="20" t="s">
        <v>14</v>
      </c>
      <c r="AB103" s="19"/>
      <c r="AC103" s="20" t="s">
        <v>26</v>
      </c>
      <c r="AD103" s="20" t="s">
        <v>25</v>
      </c>
      <c r="AE103" s="19"/>
      <c r="AF103" s="19"/>
      <c r="AG103" s="19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</row>
    <row r="104" spans="1:44" ht="12.75" customHeight="1">
      <c r="A104" s="66" t="s">
        <v>144</v>
      </c>
      <c r="B104" s="17">
        <v>45</v>
      </c>
      <c r="C104" s="17">
        <v>300</v>
      </c>
      <c r="D104" s="17">
        <v>30</v>
      </c>
      <c r="E104" s="33">
        <f>B104/D104*30</f>
        <v>45</v>
      </c>
      <c r="F104" s="17">
        <v>0.35</v>
      </c>
      <c r="G104" s="17">
        <v>0.84</v>
      </c>
      <c r="H104" s="17">
        <v>45</v>
      </c>
      <c r="I104" s="17" t="s">
        <v>125</v>
      </c>
      <c r="J104" s="17" t="s">
        <v>139</v>
      </c>
      <c r="K104" s="39">
        <f>C104/B104</f>
        <v>6.666666666666667</v>
      </c>
      <c r="L104" s="35">
        <f>G104/((C104/B104))</f>
        <v>0.126</v>
      </c>
      <c r="M104" s="40">
        <f>F104/(C104/B104)</f>
        <v>5.2499999999999991E-2</v>
      </c>
      <c r="N104" s="19">
        <v>0</v>
      </c>
      <c r="O104" s="19">
        <f>G104</f>
        <v>0.84</v>
      </c>
      <c r="P104" s="19">
        <v>0.25</v>
      </c>
      <c r="Q104" s="19">
        <v>0.5</v>
      </c>
      <c r="R104" s="50" t="e">
        <f>IF((($B$7-($H104+$H$7))&lt;=0),(0+$I$7),(I104*($B$7-(H104+$H$7)))+($I$7))</f>
        <v>#VALUE!</v>
      </c>
      <c r="S104" s="31">
        <f>((($B$3*F104)+($B$3*$C$3*G104))+(($B$4*N104)+($B$4*$C$4*O104))+(($B$5*P104)+($B$6*Q104)))</f>
        <v>65.635999999999996</v>
      </c>
      <c r="T104" s="43" t="e">
        <f>IF(((S104-C104)&lt;0),(B104+R104),(S104-C104+B104+R104))</f>
        <v>#VALUE!</v>
      </c>
      <c r="U104" s="43">
        <f>IFERROR(T104,9999)</f>
        <v>9999</v>
      </c>
      <c r="V104" s="44">
        <f>S104/C104</f>
        <v>0.21878666666666666</v>
      </c>
      <c r="W104" s="51">
        <f>IF(((C104-S104)&lt;0),0,C104-S104)</f>
        <v>234.364</v>
      </c>
      <c r="X104" s="19" t="str">
        <f>(IF((S104&lt;=C104),"NO","YES"))</f>
        <v>NO</v>
      </c>
      <c r="Y104" s="22">
        <f>RANK(U104,U:U,1)</f>
        <v>90</v>
      </c>
      <c r="Z104" s="19"/>
      <c r="AA104" s="20" t="s">
        <v>14</v>
      </c>
      <c r="AB104" s="19"/>
      <c r="AC104" s="20" t="s">
        <v>26</v>
      </c>
      <c r="AD104" s="20" t="s">
        <v>25</v>
      </c>
      <c r="AE104" s="19"/>
      <c r="AF104" s="19"/>
      <c r="AG104" s="19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</row>
    <row r="105" spans="1:44" ht="12.75" customHeight="1">
      <c r="A105" s="66" t="s">
        <v>141</v>
      </c>
      <c r="B105" s="17">
        <v>5</v>
      </c>
      <c r="C105" s="17">
        <v>5</v>
      </c>
      <c r="D105" s="17">
        <v>30</v>
      </c>
      <c r="E105" s="33">
        <f>B105/D105*30</f>
        <v>5</v>
      </c>
      <c r="F105" s="17">
        <v>0.35</v>
      </c>
      <c r="G105" s="17">
        <f>0.46*2</f>
        <v>0.92</v>
      </c>
      <c r="H105" s="17">
        <v>5</v>
      </c>
      <c r="I105" s="17" t="s">
        <v>125</v>
      </c>
      <c r="J105" s="17" t="s">
        <v>139</v>
      </c>
      <c r="K105" s="39">
        <f>C105/B105</f>
        <v>1</v>
      </c>
      <c r="L105" s="35">
        <f>G105/((C105/B105))</f>
        <v>0.92</v>
      </c>
      <c r="M105" s="40">
        <f>F105/(C105/B105)</f>
        <v>0.35</v>
      </c>
      <c r="N105" s="19">
        <v>0</v>
      </c>
      <c r="O105" s="19">
        <f>G105</f>
        <v>0.92</v>
      </c>
      <c r="P105" s="19">
        <v>0.25</v>
      </c>
      <c r="Q105" s="19">
        <v>0.5</v>
      </c>
      <c r="R105" s="50" t="e">
        <f>IF((($B$7-($H105+$H$7))&lt;=0),(0+$I$7),(I105*($B$7-(H105+$H$7)))+($I$7))</f>
        <v>#VALUE!</v>
      </c>
      <c r="S105" s="31">
        <f>((($B$3*F105)+($B$3*$C$3*G105))+(($B$4*N105)+($B$4*$C$4*O105))+(($B$5*P105)+($B$6*Q105)))</f>
        <v>67.268000000000001</v>
      </c>
      <c r="T105" s="43" t="e">
        <f>IF(((S105-C105)&lt;0),(B105+R105),(S105-C105+B105+R105))</f>
        <v>#VALUE!</v>
      </c>
      <c r="U105" s="43">
        <f>IFERROR(T105,9999)</f>
        <v>9999</v>
      </c>
      <c r="V105" s="44">
        <f>S105/C105</f>
        <v>13.4536</v>
      </c>
      <c r="W105" s="51">
        <f>IF(((C105-S105)&lt;0),0,C105-S105)</f>
        <v>0</v>
      </c>
      <c r="X105" s="19" t="str">
        <f>(IF((S105&lt;=C105),"NO","YES"))</f>
        <v>YES</v>
      </c>
      <c r="Y105" s="22">
        <f>RANK(U105,U:U,1)</f>
        <v>90</v>
      </c>
      <c r="Z105" s="19"/>
      <c r="AA105" s="20" t="s">
        <v>14</v>
      </c>
      <c r="AB105" s="20" t="s">
        <v>25</v>
      </c>
      <c r="AC105" s="20" t="s">
        <v>26</v>
      </c>
      <c r="AD105" s="20" t="s">
        <v>25</v>
      </c>
      <c r="AE105" s="19"/>
      <c r="AF105" s="19"/>
      <c r="AG105" s="19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</row>
    <row r="106" spans="1:44" ht="12.75" customHeight="1">
      <c r="A106" s="66" t="s">
        <v>17</v>
      </c>
      <c r="B106" s="17">
        <v>10</v>
      </c>
      <c r="C106" s="17">
        <v>10</v>
      </c>
      <c r="D106" s="17">
        <v>365</v>
      </c>
      <c r="E106" s="33">
        <f>B106/D106*30</f>
        <v>0.82191780821917804</v>
      </c>
      <c r="F106" s="17">
        <v>0.2</v>
      </c>
      <c r="G106" s="17">
        <v>0.24</v>
      </c>
      <c r="H106" s="17">
        <v>0</v>
      </c>
      <c r="I106" s="17" t="s">
        <v>125</v>
      </c>
      <c r="J106" s="17" t="s">
        <v>139</v>
      </c>
      <c r="K106" s="39">
        <f>C106/B106</f>
        <v>1</v>
      </c>
      <c r="L106" s="35">
        <f>G106/((C106/B106))</f>
        <v>0.24</v>
      </c>
      <c r="M106" s="40">
        <f>F106/(C106/B106)</f>
        <v>0.2</v>
      </c>
      <c r="N106" s="19">
        <v>0</v>
      </c>
      <c r="O106" s="19">
        <v>0.24</v>
      </c>
      <c r="P106" s="19">
        <v>0.15</v>
      </c>
      <c r="Q106" s="19">
        <v>0.75</v>
      </c>
      <c r="R106" s="50" t="e">
        <f>IF((($B$7-($H106+$H$7))&lt;=0),(0+$I$7),(I106*($B$7-(H106+$H$7)))+($I$7))</f>
        <v>#VALUE!</v>
      </c>
      <c r="S106" s="31">
        <f>((($B$3*F106)+($B$3*$C$3*G106))+(($B$4*N106)+($B$4*$C$4*O106))+(($B$5*P106)+($B$6*Q106)))</f>
        <v>34.146000000000001</v>
      </c>
      <c r="T106" s="43" t="e">
        <f>IF(((S106-C106)&lt;0),(B106+R106),(S106-C106+B106+R106))</f>
        <v>#VALUE!</v>
      </c>
      <c r="U106" s="43">
        <f>IFERROR(T106,9999)</f>
        <v>9999</v>
      </c>
      <c r="V106" s="44">
        <f>S106/C106</f>
        <v>3.4146000000000001</v>
      </c>
      <c r="W106" s="51">
        <f>IF(((C106-S106)&lt;0),0,C106-S106)</f>
        <v>0</v>
      </c>
      <c r="X106" s="19" t="str">
        <f>(IF((S106&lt;=C106),"NO","YES"))</f>
        <v>YES</v>
      </c>
      <c r="Y106" s="22">
        <f>RANK(U106,U:U,1)</f>
        <v>90</v>
      </c>
      <c r="Z106" s="19"/>
      <c r="AA106" s="20" t="s">
        <v>15</v>
      </c>
      <c r="AB106" s="20" t="s">
        <v>27</v>
      </c>
      <c r="AC106" s="20" t="s">
        <v>30</v>
      </c>
      <c r="AD106" s="20" t="s">
        <v>25</v>
      </c>
      <c r="AE106" s="19"/>
      <c r="AF106" s="19"/>
      <c r="AG106" s="19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</row>
    <row r="107" spans="1:44" ht="12.75" customHeight="1">
      <c r="A107" s="66" t="s">
        <v>17</v>
      </c>
      <c r="B107" s="17">
        <v>20</v>
      </c>
      <c r="C107" s="17">
        <v>20</v>
      </c>
      <c r="D107" s="17">
        <v>365</v>
      </c>
      <c r="E107" s="33">
        <f>B107/D107*30</f>
        <v>1.6438356164383561</v>
      </c>
      <c r="F107" s="17">
        <v>0.2</v>
      </c>
      <c r="G107" s="17">
        <v>0.24</v>
      </c>
      <c r="H107" s="17">
        <v>0</v>
      </c>
      <c r="I107" s="17" t="s">
        <v>125</v>
      </c>
      <c r="J107" s="17" t="s">
        <v>139</v>
      </c>
      <c r="K107" s="39">
        <f>C107/B107</f>
        <v>1</v>
      </c>
      <c r="L107" s="35">
        <f>G107/((C107/B107))</f>
        <v>0.24</v>
      </c>
      <c r="M107" s="40">
        <f>F107/(C107/B107)</f>
        <v>0.2</v>
      </c>
      <c r="N107" s="19">
        <v>0</v>
      </c>
      <c r="O107" s="19">
        <v>0.24</v>
      </c>
      <c r="P107" s="19">
        <v>0.15</v>
      </c>
      <c r="Q107" s="19">
        <v>0.75</v>
      </c>
      <c r="R107" s="50" t="e">
        <f>IF((($B$7-($H107+$H$7))&lt;=0),(0+$I$7),(I107*($B$7-(H107+$H$7)))+($I$7))</f>
        <v>#VALUE!</v>
      </c>
      <c r="S107" s="31">
        <f>((($B$3*F107)+($B$3*$C$3*G107))+(($B$4*N107)+($B$4*$C$4*O107))+(($B$5*P107)+($B$6*Q107)))</f>
        <v>34.146000000000001</v>
      </c>
      <c r="T107" s="43" t="e">
        <f>IF(((S107-C107)&lt;0),(B107+R107),(S107-C107+B107+R107))</f>
        <v>#VALUE!</v>
      </c>
      <c r="U107" s="43">
        <f>IFERROR(T107,9999)</f>
        <v>9999</v>
      </c>
      <c r="V107" s="44">
        <f>S107/C107</f>
        <v>1.7073</v>
      </c>
      <c r="W107" s="51">
        <f>IF(((C107-S107)&lt;0),0,C107-S107)</f>
        <v>0</v>
      </c>
      <c r="X107" s="19" t="str">
        <f>(IF((S107&lt;=C107),"NO","YES"))</f>
        <v>YES</v>
      </c>
      <c r="Y107" s="22">
        <f>RANK(U107,U:U,1)</f>
        <v>90</v>
      </c>
      <c r="Z107" s="19"/>
      <c r="AA107" s="20" t="s">
        <v>15</v>
      </c>
      <c r="AB107" s="20" t="s">
        <v>27</v>
      </c>
      <c r="AC107" s="20" t="s">
        <v>30</v>
      </c>
      <c r="AD107" s="20" t="s">
        <v>25</v>
      </c>
      <c r="AE107" s="19"/>
      <c r="AF107" s="19"/>
      <c r="AG107" s="19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</row>
    <row r="108" spans="1:44" ht="12.75" customHeight="1">
      <c r="A108" s="66" t="s">
        <v>17</v>
      </c>
      <c r="B108" s="17">
        <v>30</v>
      </c>
      <c r="C108" s="17">
        <v>30</v>
      </c>
      <c r="D108" s="17">
        <v>365</v>
      </c>
      <c r="E108" s="33">
        <f>B108/D108*30</f>
        <v>2.4657534246575343</v>
      </c>
      <c r="F108" s="17">
        <v>0.2</v>
      </c>
      <c r="G108" s="17">
        <v>0.24</v>
      </c>
      <c r="H108" s="17">
        <v>0</v>
      </c>
      <c r="I108" s="17" t="s">
        <v>125</v>
      </c>
      <c r="J108" s="17" t="s">
        <v>139</v>
      </c>
      <c r="K108" s="39">
        <f>C108/B108</f>
        <v>1</v>
      </c>
      <c r="L108" s="35">
        <f>G108/((C108/B108))</f>
        <v>0.24</v>
      </c>
      <c r="M108" s="40">
        <f>F108/(C108/B108)</f>
        <v>0.2</v>
      </c>
      <c r="N108" s="19">
        <v>0</v>
      </c>
      <c r="O108" s="19">
        <v>0.24</v>
      </c>
      <c r="P108" s="19">
        <v>0.15</v>
      </c>
      <c r="Q108" s="19">
        <v>0.75</v>
      </c>
      <c r="R108" s="50" t="e">
        <f>IF((($B$7-($H108+$H$7))&lt;=0),(0+$I$7),(I108*($B$7-(H108+$H$7)))+($I$7))</f>
        <v>#VALUE!</v>
      </c>
      <c r="S108" s="31">
        <f>((($B$3*F108)+($B$3*$C$3*G108))+(($B$4*N108)+($B$4*$C$4*O108))+(($B$5*P108)+($B$6*Q108)))</f>
        <v>34.146000000000001</v>
      </c>
      <c r="T108" s="43" t="e">
        <f>IF(((S108-C108)&lt;0),(B108+R108),(S108-C108+B108+R108))</f>
        <v>#VALUE!</v>
      </c>
      <c r="U108" s="43">
        <f>IFERROR(T108,9999)</f>
        <v>9999</v>
      </c>
      <c r="V108" s="44">
        <f>S108/C108</f>
        <v>1.1382000000000001</v>
      </c>
      <c r="W108" s="51">
        <f>IF(((C108-S108)&lt;0),0,C108-S108)</f>
        <v>0</v>
      </c>
      <c r="X108" s="19" t="str">
        <f>(IF((S108&lt;=C108),"NO","YES"))</f>
        <v>YES</v>
      </c>
      <c r="Y108" s="22">
        <f>RANK(U108,U:U,1)</f>
        <v>90</v>
      </c>
      <c r="Z108" s="19"/>
      <c r="AA108" s="20" t="s">
        <v>15</v>
      </c>
      <c r="AB108" s="20" t="s">
        <v>27</v>
      </c>
      <c r="AC108" s="20" t="s">
        <v>30</v>
      </c>
      <c r="AD108" s="20" t="s">
        <v>25</v>
      </c>
      <c r="AE108" s="19"/>
      <c r="AF108" s="19"/>
      <c r="AG108" s="19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</row>
    <row r="109" spans="1:44" ht="12.75" customHeight="1">
      <c r="A109" s="66" t="s">
        <v>17</v>
      </c>
      <c r="B109" s="17">
        <v>50</v>
      </c>
      <c r="C109" s="17">
        <v>50</v>
      </c>
      <c r="D109" s="17">
        <v>365</v>
      </c>
      <c r="E109" s="33">
        <f>B109/D109*30</f>
        <v>4.10958904109589</v>
      </c>
      <c r="F109" s="17">
        <v>0.2</v>
      </c>
      <c r="G109" s="17">
        <v>0.24</v>
      </c>
      <c r="H109" s="17">
        <v>0</v>
      </c>
      <c r="I109" s="17" t="s">
        <v>125</v>
      </c>
      <c r="J109" s="17" t="s">
        <v>139</v>
      </c>
      <c r="K109" s="39">
        <f>C109/B109</f>
        <v>1</v>
      </c>
      <c r="L109" s="35">
        <f>G109/((C109/B109))</f>
        <v>0.24</v>
      </c>
      <c r="M109" s="40">
        <f>F109/(C109/B109)</f>
        <v>0.2</v>
      </c>
      <c r="N109" s="19">
        <v>0</v>
      </c>
      <c r="O109" s="19">
        <v>0.24</v>
      </c>
      <c r="P109" s="19">
        <v>0.15</v>
      </c>
      <c r="Q109" s="19">
        <v>0.75</v>
      </c>
      <c r="R109" s="50" t="e">
        <f>IF((($B$7-($H109+$H$7))&lt;=0),(0+$I$7),(I109*($B$7-(H109+$H$7)))+($I$7))</f>
        <v>#VALUE!</v>
      </c>
      <c r="S109" s="31">
        <f>((($B$3*F109)+($B$3*$C$3*G109))+(($B$4*N109)+($B$4*$C$4*O109))+(($B$5*P109)+($B$6*Q109)))</f>
        <v>34.146000000000001</v>
      </c>
      <c r="T109" s="43" t="e">
        <f>IF(((S109-C109)&lt;0),(B109+R109),(S109-C109+B109+R109))</f>
        <v>#VALUE!</v>
      </c>
      <c r="U109" s="43">
        <f>IFERROR(T109,9999)</f>
        <v>9999</v>
      </c>
      <c r="V109" s="44">
        <f>S109/C109</f>
        <v>0.68291999999999997</v>
      </c>
      <c r="W109" s="51">
        <f>IF(((C109-S109)&lt;0),0,C109-S109)</f>
        <v>15.853999999999999</v>
      </c>
      <c r="X109" s="19" t="str">
        <f>(IF((S109&lt;=C109),"NO","YES"))</f>
        <v>NO</v>
      </c>
      <c r="Y109" s="22">
        <f>RANK(U109,U:U,1)</f>
        <v>90</v>
      </c>
      <c r="Z109" s="19"/>
      <c r="AA109" s="20" t="s">
        <v>15</v>
      </c>
      <c r="AB109" s="20" t="s">
        <v>27</v>
      </c>
      <c r="AC109" s="20" t="s">
        <v>30</v>
      </c>
      <c r="AD109" s="20" t="s">
        <v>25</v>
      </c>
      <c r="AE109" s="19"/>
      <c r="AF109" s="19"/>
      <c r="AG109" s="19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</row>
    <row r="110" spans="1:44" ht="12.75" customHeight="1">
      <c r="A110" s="66" t="s">
        <v>17</v>
      </c>
      <c r="B110" s="17">
        <v>100</v>
      </c>
      <c r="C110" s="17">
        <v>100</v>
      </c>
      <c r="D110" s="17">
        <v>365</v>
      </c>
      <c r="E110" s="34">
        <f>B110/D110*30</f>
        <v>8.2191780821917799</v>
      </c>
      <c r="F110" s="17">
        <v>0.2</v>
      </c>
      <c r="G110" s="17">
        <v>0.24</v>
      </c>
      <c r="H110" s="17">
        <v>0</v>
      </c>
      <c r="I110" s="17" t="s">
        <v>125</v>
      </c>
      <c r="J110" s="17" t="s">
        <v>139</v>
      </c>
      <c r="K110" s="41">
        <f>C110/B110</f>
        <v>1</v>
      </c>
      <c r="L110" s="42">
        <f>G110/((C110/B110))</f>
        <v>0.24</v>
      </c>
      <c r="M110" s="68">
        <f>F110/(C110/B110)</f>
        <v>0.2</v>
      </c>
      <c r="N110" s="19">
        <v>0</v>
      </c>
      <c r="O110" s="19">
        <v>0.24</v>
      </c>
      <c r="P110" s="19">
        <v>0.15</v>
      </c>
      <c r="Q110" s="19">
        <v>0.75</v>
      </c>
      <c r="R110" s="52" t="e">
        <f>IF((($B$7-($H110+$H$7))&lt;=0),(0+$I$7),(I110*($B$7-(H110+$H$7)))+($I$7))</f>
        <v>#VALUE!</v>
      </c>
      <c r="S110" s="53">
        <f>((($B$3*F110)+($B$3*$C$3*G110))+(($B$4*N110)+($B$4*$C$4*O110))+(($B$5*P110)+($B$6*Q110)))</f>
        <v>34.146000000000001</v>
      </c>
      <c r="T110" s="54" t="e">
        <f>IF(((S110-C110)&lt;0),(B110+R110),(S110-C110+B110+R110))</f>
        <v>#VALUE!</v>
      </c>
      <c r="U110" s="54">
        <f>IFERROR(T110,9999)</f>
        <v>9999</v>
      </c>
      <c r="V110" s="55">
        <f>S110/C110</f>
        <v>0.34145999999999999</v>
      </c>
      <c r="W110" s="56">
        <f>IF(((C110-S110)&lt;0),0,C110-S110)</f>
        <v>65.853999999999999</v>
      </c>
      <c r="X110" s="19" t="str">
        <f>(IF((S110&lt;=C110),"NO","YES"))</f>
        <v>NO</v>
      </c>
      <c r="Y110" s="22">
        <f>RANK(U110,U:U,1)</f>
        <v>90</v>
      </c>
      <c r="Z110" s="19"/>
      <c r="AA110" s="20" t="s">
        <v>15</v>
      </c>
      <c r="AB110" s="20" t="s">
        <v>27</v>
      </c>
      <c r="AC110" s="20" t="s">
        <v>30</v>
      </c>
      <c r="AD110" s="20" t="s">
        <v>25</v>
      </c>
      <c r="AE110" s="19"/>
      <c r="AF110" s="19"/>
      <c r="AG110" s="19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</row>
    <row r="111" spans="1:44" ht="12.75" customHeight="1">
      <c r="A111" s="11"/>
      <c r="B111"/>
      <c r="C111"/>
      <c r="D111"/>
      <c r="E111"/>
      <c r="F111" s="6"/>
      <c r="G111" s="6"/>
      <c r="H111" s="6"/>
      <c r="I111" s="6"/>
      <c r="J111" s="6"/>
      <c r="K111" s="4"/>
      <c r="L111" s="13"/>
      <c r="M111" s="1"/>
      <c r="N111" s="1"/>
      <c r="O111" s="1"/>
      <c r="P111" s="1"/>
      <c r="Q111" s="1"/>
      <c r="R111" s="1"/>
      <c r="S111" s="1"/>
      <c r="T111" s="8"/>
      <c r="U111" s="8"/>
      <c r="V111" s="3"/>
      <c r="W111" s="1"/>
      <c r="X111" s="1"/>
      <c r="Y111" s="16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</row>
    <row r="112" spans="1:44" ht="12.75" customHeight="1">
      <c r="A112" s="1"/>
      <c r="B112" s="6"/>
      <c r="C112" s="6"/>
      <c r="D112" s="6"/>
      <c r="E112" s="6"/>
      <c r="F112" s="6"/>
      <c r="G112" s="6"/>
      <c r="H112" s="6"/>
      <c r="I112" s="6"/>
      <c r="J112" s="6"/>
      <c r="K112" s="4"/>
      <c r="L112" s="13"/>
      <c r="M112" s="2"/>
      <c r="N112" s="1"/>
      <c r="O112" s="1"/>
      <c r="P112" s="1"/>
      <c r="Q112" s="1"/>
      <c r="R112" s="1"/>
      <c r="S112" s="1"/>
      <c r="T112" s="8"/>
      <c r="U112" s="8"/>
      <c r="V112" s="3"/>
      <c r="W112" s="1"/>
      <c r="X112" s="1"/>
      <c r="Y112" s="16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</row>
    <row r="113" spans="1:44" ht="12.75" customHeight="1">
      <c r="A113" s="1"/>
      <c r="B113" s="6"/>
      <c r="C113" s="6"/>
      <c r="D113" s="6"/>
      <c r="E113" s="6"/>
      <c r="F113" s="6"/>
      <c r="G113" s="6"/>
      <c r="H113" s="6"/>
      <c r="I113" s="6"/>
      <c r="J113" s="6"/>
      <c r="K113" s="4"/>
      <c r="L113" s="13"/>
      <c r="M113" s="2"/>
      <c r="N113" s="1"/>
      <c r="O113" s="1"/>
      <c r="P113" s="1"/>
      <c r="Q113" s="1"/>
      <c r="R113" s="1"/>
      <c r="S113" s="1"/>
      <c r="T113" s="8"/>
      <c r="U113" s="8"/>
      <c r="V113" s="3"/>
      <c r="W113" s="1"/>
      <c r="X113" s="1"/>
      <c r="Y113" s="16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</row>
    <row r="114" spans="1:44" ht="12.75" customHeight="1">
      <c r="A114" s="1"/>
      <c r="B114" s="6"/>
      <c r="C114" s="6"/>
      <c r="D114" s="6"/>
      <c r="E114" s="6"/>
      <c r="F114" s="6"/>
      <c r="G114" s="6"/>
      <c r="H114" s="6"/>
      <c r="I114" s="6"/>
      <c r="J114" s="6"/>
      <c r="K114" s="4"/>
      <c r="L114" s="13"/>
      <c r="M114" s="2"/>
      <c r="N114" s="1"/>
      <c r="O114" s="1"/>
      <c r="P114" s="1"/>
      <c r="Q114" s="1"/>
      <c r="R114" s="1"/>
      <c r="S114" s="1"/>
      <c r="T114" s="8"/>
      <c r="U114" s="8"/>
      <c r="V114" s="3"/>
      <c r="W114" s="1"/>
      <c r="X114" s="1"/>
      <c r="Y114" s="16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</row>
    <row r="115" spans="1:44" ht="12.75" customHeight="1">
      <c r="A115" s="1"/>
      <c r="B115" s="6"/>
      <c r="C115" s="6"/>
      <c r="D115" s="6"/>
      <c r="E115" s="6"/>
      <c r="F115" s="6"/>
      <c r="G115" s="6"/>
      <c r="H115" s="6"/>
      <c r="I115" s="6"/>
      <c r="J115" s="6"/>
      <c r="K115" s="4"/>
      <c r="L115" s="13"/>
      <c r="M115" s="2"/>
      <c r="N115" s="1"/>
      <c r="O115" s="1"/>
      <c r="P115" s="1"/>
      <c r="Q115" s="1"/>
      <c r="R115" s="1"/>
      <c r="S115" s="1"/>
      <c r="T115" s="8"/>
      <c r="U115" s="8"/>
      <c r="V115" s="3"/>
      <c r="W115" s="1"/>
      <c r="X115" s="1"/>
      <c r="Y115" s="16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</row>
    <row r="116" spans="1:44" ht="12.75" customHeight="1">
      <c r="A116" s="1"/>
      <c r="B116" s="6"/>
      <c r="C116" s="6"/>
      <c r="D116" s="6"/>
      <c r="E116" s="6"/>
      <c r="F116" s="6"/>
      <c r="G116" s="6"/>
      <c r="H116" s="6"/>
      <c r="I116" s="6"/>
      <c r="J116" s="6"/>
      <c r="K116" s="4"/>
      <c r="L116" s="13"/>
      <c r="M116" s="2"/>
      <c r="N116" s="1"/>
      <c r="O116" s="1"/>
      <c r="P116" s="1"/>
      <c r="Q116" s="1"/>
      <c r="R116" s="1"/>
      <c r="S116" s="1"/>
      <c r="T116" s="8"/>
      <c r="U116" s="8"/>
      <c r="V116" s="3"/>
      <c r="W116" s="1"/>
      <c r="X116" s="1"/>
      <c r="Y116" s="16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</row>
    <row r="117" spans="1:44" ht="12.75" customHeight="1">
      <c r="A117" s="1"/>
      <c r="B117" s="6"/>
      <c r="C117" s="6"/>
      <c r="D117" s="6"/>
      <c r="E117" s="6"/>
      <c r="F117" s="6"/>
      <c r="G117" s="6"/>
      <c r="H117" s="6"/>
      <c r="I117" s="6"/>
      <c r="J117" s="6"/>
      <c r="K117" s="4"/>
      <c r="L117" s="13"/>
      <c r="M117" s="2"/>
      <c r="N117" s="1"/>
      <c r="O117" s="1"/>
      <c r="P117" s="1"/>
      <c r="Q117" s="1"/>
      <c r="R117" s="1"/>
      <c r="S117" s="1"/>
      <c r="T117" s="8"/>
      <c r="U117" s="8"/>
      <c r="V117" s="3"/>
      <c r="W117" s="1"/>
      <c r="X117" s="1"/>
      <c r="Y117" s="16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</row>
    <row r="118" spans="1:44" ht="12.75" customHeight="1">
      <c r="A118" s="1"/>
      <c r="B118" s="6"/>
      <c r="C118" s="6"/>
      <c r="D118" s="6"/>
      <c r="E118" s="6"/>
      <c r="F118" s="6"/>
      <c r="G118" s="6"/>
      <c r="H118" s="6"/>
      <c r="I118" s="6"/>
      <c r="J118" s="6"/>
      <c r="K118" s="4"/>
      <c r="L118" s="13"/>
      <c r="M118" s="2"/>
      <c r="N118" s="1"/>
      <c r="O118" s="1"/>
      <c r="P118" s="1"/>
      <c r="Q118" s="1"/>
      <c r="R118" s="1"/>
      <c r="S118" s="1"/>
      <c r="T118" s="8"/>
      <c r="U118" s="8"/>
      <c r="V118" s="3"/>
      <c r="W118" s="1"/>
      <c r="X118" s="1"/>
      <c r="Y118" s="16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</row>
    <row r="119" spans="1:44" ht="12.75" customHeight="1">
      <c r="A119" s="1"/>
      <c r="B119" s="6"/>
      <c r="C119" s="6"/>
      <c r="D119" s="6"/>
      <c r="E119" s="6"/>
      <c r="F119" s="6"/>
      <c r="G119" s="6"/>
      <c r="H119" s="6"/>
      <c r="I119" s="6"/>
      <c r="J119" s="6"/>
      <c r="K119" s="4"/>
      <c r="L119" s="13"/>
      <c r="M119" s="2"/>
      <c r="N119" s="1"/>
      <c r="O119" s="1"/>
      <c r="P119" s="1"/>
      <c r="Q119" s="1"/>
      <c r="R119" s="1"/>
      <c r="S119" s="1"/>
      <c r="T119" s="8"/>
      <c r="U119" s="8"/>
      <c r="V119" s="3"/>
      <c r="W119" s="1"/>
      <c r="X119" s="1"/>
      <c r="Y119" s="16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</row>
    <row r="120" spans="1:44" ht="12.75" customHeight="1">
      <c r="A120" s="1"/>
      <c r="B120" s="6"/>
      <c r="C120" s="6"/>
      <c r="D120" s="6"/>
      <c r="E120" s="6"/>
      <c r="F120" s="6"/>
      <c r="G120" s="6"/>
      <c r="H120" s="6"/>
      <c r="I120" s="6"/>
      <c r="J120" s="6"/>
      <c r="K120" s="4"/>
      <c r="L120" s="13"/>
      <c r="M120" s="2"/>
      <c r="N120" s="1"/>
      <c r="O120" s="1"/>
      <c r="P120" s="1"/>
      <c r="Q120" s="1"/>
      <c r="R120" s="1"/>
      <c r="S120" s="1"/>
      <c r="T120" s="8"/>
      <c r="U120" s="8"/>
      <c r="V120" s="3"/>
      <c r="W120" s="1"/>
      <c r="X120" s="1"/>
      <c r="Y120" s="16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</row>
    <row r="121" spans="1:44" ht="12.75" customHeight="1">
      <c r="A121" s="1"/>
      <c r="B121" s="6"/>
      <c r="C121" s="6"/>
      <c r="D121" s="6"/>
      <c r="E121" s="6"/>
      <c r="F121" s="6"/>
      <c r="G121" s="6"/>
      <c r="H121" s="6"/>
      <c r="I121" s="6"/>
      <c r="J121" s="6"/>
      <c r="K121" s="4"/>
      <c r="L121" s="13"/>
      <c r="M121" s="2"/>
      <c r="N121" s="1"/>
      <c r="O121" s="1"/>
      <c r="P121" s="1"/>
      <c r="Q121" s="1"/>
      <c r="R121" s="1"/>
      <c r="S121" s="1"/>
      <c r="T121" s="8"/>
      <c r="U121" s="8"/>
      <c r="V121" s="3"/>
      <c r="W121" s="1"/>
      <c r="X121" s="1"/>
      <c r="Y121" s="16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</row>
    <row r="122" spans="1:44" ht="12.75" customHeight="1">
      <c r="A122" s="1"/>
      <c r="B122" s="6"/>
      <c r="C122" s="6"/>
      <c r="D122" s="6"/>
      <c r="E122" s="6"/>
      <c r="F122" s="6"/>
      <c r="G122" s="6"/>
      <c r="H122" s="6"/>
      <c r="I122" s="6"/>
      <c r="J122" s="6"/>
      <c r="K122" s="4"/>
      <c r="L122" s="13"/>
      <c r="M122" s="2"/>
      <c r="N122" s="1"/>
      <c r="O122" s="1"/>
      <c r="P122" s="1"/>
      <c r="Q122" s="1"/>
      <c r="R122" s="1"/>
      <c r="S122" s="1"/>
      <c r="T122" s="8"/>
      <c r="U122" s="8"/>
      <c r="V122" s="3"/>
      <c r="W122" s="1"/>
      <c r="X122" s="1"/>
      <c r="Y122" s="16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</row>
    <row r="123" spans="1:44" ht="12.75" customHeight="1">
      <c r="A123" s="1"/>
      <c r="B123" s="6"/>
      <c r="C123" s="6"/>
      <c r="D123" s="6"/>
      <c r="E123" s="6"/>
      <c r="F123" s="6"/>
      <c r="G123" s="6"/>
      <c r="H123" s="6"/>
      <c r="I123" s="6"/>
      <c r="J123" s="6"/>
      <c r="K123" s="4"/>
      <c r="L123" s="13"/>
      <c r="M123" s="2"/>
      <c r="N123" s="1"/>
      <c r="O123" s="1"/>
      <c r="P123" s="1"/>
      <c r="Q123" s="1"/>
      <c r="R123" s="1"/>
      <c r="S123" s="1"/>
      <c r="T123" s="8"/>
      <c r="U123" s="8"/>
      <c r="V123" s="3"/>
      <c r="W123" s="1"/>
      <c r="X123" s="1"/>
      <c r="Y123" s="16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</row>
    <row r="124" spans="1:44" ht="12.75" customHeight="1">
      <c r="A124" s="1"/>
      <c r="B124" s="6"/>
      <c r="C124" s="6"/>
      <c r="D124" s="6"/>
      <c r="E124" s="6"/>
      <c r="F124" s="6"/>
      <c r="G124" s="6"/>
      <c r="H124" s="6"/>
      <c r="I124" s="6"/>
      <c r="J124" s="6"/>
      <c r="K124" s="4"/>
      <c r="L124" s="13"/>
      <c r="M124" s="2"/>
      <c r="N124" s="1"/>
      <c r="O124" s="1"/>
      <c r="P124" s="1"/>
      <c r="Q124" s="1"/>
      <c r="R124" s="1"/>
      <c r="S124" s="1"/>
      <c r="T124" s="8"/>
      <c r="U124" s="8"/>
      <c r="V124" s="3"/>
      <c r="W124" s="1"/>
      <c r="X124" s="1"/>
      <c r="Y124" s="16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</row>
    <row r="125" spans="1:44" ht="12.75" customHeight="1">
      <c r="A125" s="1"/>
      <c r="B125" s="6"/>
      <c r="C125" s="6"/>
      <c r="D125" s="6"/>
      <c r="E125" s="6"/>
      <c r="F125" s="6"/>
      <c r="G125" s="6"/>
      <c r="H125" s="6"/>
      <c r="I125" s="6"/>
      <c r="J125" s="6"/>
      <c r="K125" s="4"/>
      <c r="L125" s="13"/>
      <c r="M125" s="2"/>
      <c r="N125" s="1"/>
      <c r="O125" s="1"/>
      <c r="P125" s="1"/>
      <c r="Q125" s="1"/>
      <c r="R125" s="1"/>
      <c r="S125" s="1"/>
      <c r="T125" s="8"/>
      <c r="U125" s="8"/>
      <c r="V125" s="3"/>
      <c r="W125" s="1"/>
      <c r="X125" s="1"/>
      <c r="Y125" s="16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</row>
    <row r="126" spans="1:44" ht="12.75" customHeight="1">
      <c r="A126" s="1"/>
      <c r="B126" s="6"/>
      <c r="C126" s="6"/>
      <c r="D126" s="6"/>
      <c r="E126" s="6"/>
      <c r="F126" s="6"/>
      <c r="G126" s="6"/>
      <c r="H126" s="6"/>
      <c r="I126" s="6"/>
      <c r="J126" s="6"/>
      <c r="K126" s="4"/>
      <c r="L126" s="13"/>
      <c r="M126" s="2"/>
      <c r="N126" s="1"/>
      <c r="O126" s="1"/>
      <c r="P126" s="1"/>
      <c r="Q126" s="1"/>
      <c r="R126" s="1"/>
      <c r="S126" s="1"/>
      <c r="T126" s="8"/>
      <c r="U126" s="8"/>
      <c r="V126" s="3"/>
      <c r="W126" s="1"/>
      <c r="X126" s="1"/>
      <c r="Y126" s="16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</row>
    <row r="127" spans="1:44" ht="12.75" customHeight="1">
      <c r="A127" s="1"/>
      <c r="B127" s="6"/>
      <c r="C127" s="6"/>
      <c r="D127" s="6"/>
      <c r="E127" s="6"/>
      <c r="F127" s="6"/>
      <c r="G127" s="6"/>
      <c r="H127" s="6"/>
      <c r="I127" s="6"/>
      <c r="J127" s="6"/>
      <c r="K127" s="4"/>
      <c r="L127" s="13"/>
      <c r="M127" s="2"/>
      <c r="N127" s="1"/>
      <c r="O127" s="1"/>
      <c r="P127" s="1"/>
      <c r="Q127" s="1"/>
      <c r="R127" s="1"/>
      <c r="S127" s="1"/>
      <c r="T127" s="8"/>
      <c r="U127" s="8"/>
      <c r="V127" s="3"/>
      <c r="W127" s="1"/>
      <c r="X127" s="1"/>
      <c r="Y127" s="16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</row>
    <row r="128" spans="1:44" ht="12.75" customHeight="1">
      <c r="A128" s="1"/>
      <c r="B128" s="6"/>
      <c r="C128" s="6"/>
      <c r="D128" s="6"/>
      <c r="E128" s="6"/>
      <c r="F128" s="6"/>
      <c r="G128" s="6"/>
      <c r="H128" s="6"/>
      <c r="I128" s="6"/>
      <c r="J128" s="6"/>
      <c r="K128" s="4"/>
      <c r="L128" s="13"/>
      <c r="M128" s="2"/>
      <c r="N128" s="1"/>
      <c r="O128" s="1"/>
      <c r="P128" s="1"/>
      <c r="Q128" s="1"/>
      <c r="R128" s="1"/>
      <c r="S128" s="1"/>
      <c r="T128" s="8"/>
      <c r="U128" s="8"/>
      <c r="V128" s="3"/>
      <c r="W128" s="1"/>
      <c r="X128" s="1"/>
      <c r="Y128" s="16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</row>
    <row r="129" spans="1:44" ht="12.75" customHeight="1">
      <c r="A129" s="1"/>
      <c r="B129" s="6"/>
      <c r="C129" s="6"/>
      <c r="D129" s="6"/>
      <c r="E129" s="6"/>
      <c r="F129" s="6"/>
      <c r="G129" s="6"/>
      <c r="H129" s="6"/>
      <c r="I129" s="6"/>
      <c r="J129" s="6"/>
      <c r="K129" s="4"/>
      <c r="L129" s="13"/>
      <c r="M129" s="2"/>
      <c r="N129" s="1"/>
      <c r="O129" s="1"/>
      <c r="P129" s="1"/>
      <c r="Q129" s="1"/>
      <c r="R129" s="1"/>
      <c r="S129" s="1"/>
      <c r="T129" s="8"/>
      <c r="U129" s="8"/>
      <c r="V129" s="3"/>
      <c r="W129" s="1"/>
      <c r="X129" s="1"/>
      <c r="Y129" s="16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</row>
    <row r="130" spans="1:44" ht="12.75" customHeight="1">
      <c r="A130" s="1"/>
      <c r="B130" s="6"/>
      <c r="C130" s="6"/>
      <c r="D130" s="6"/>
      <c r="E130" s="6"/>
      <c r="F130" s="6"/>
      <c r="G130" s="6"/>
      <c r="H130" s="6"/>
      <c r="I130" s="6"/>
      <c r="J130" s="6"/>
      <c r="K130" s="4"/>
      <c r="L130" s="13"/>
      <c r="M130" s="2"/>
      <c r="N130" s="1"/>
      <c r="O130" s="1"/>
      <c r="P130" s="1"/>
      <c r="Q130" s="1"/>
      <c r="R130" s="1"/>
      <c r="S130" s="1"/>
      <c r="T130" s="8"/>
      <c r="U130" s="8"/>
      <c r="V130" s="3"/>
      <c r="W130" s="1"/>
      <c r="X130" s="1"/>
      <c r="Y130" s="16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</row>
    <row r="131" spans="1:44" ht="12.75" customHeight="1">
      <c r="A131" s="1"/>
      <c r="B131" s="6"/>
      <c r="C131" s="6"/>
      <c r="D131" s="6"/>
      <c r="E131" s="6"/>
      <c r="F131" s="6"/>
      <c r="G131" s="6"/>
      <c r="H131" s="6"/>
      <c r="I131" s="6"/>
      <c r="J131" s="6"/>
      <c r="K131" s="4"/>
      <c r="L131" s="13"/>
      <c r="M131" s="2"/>
      <c r="N131" s="1"/>
      <c r="O131" s="1"/>
      <c r="P131" s="1"/>
      <c r="Q131" s="1"/>
      <c r="R131" s="1"/>
      <c r="S131" s="1"/>
      <c r="T131" s="8"/>
      <c r="U131" s="8"/>
      <c r="V131" s="3"/>
      <c r="W131" s="1"/>
      <c r="X131" s="1"/>
      <c r="Y131" s="16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</row>
    <row r="132" spans="1:44" ht="12.75" customHeight="1">
      <c r="A132" s="1"/>
      <c r="B132" s="6"/>
      <c r="C132" s="6"/>
      <c r="D132" s="6"/>
      <c r="E132" s="6"/>
      <c r="F132" s="6"/>
      <c r="G132" s="6"/>
      <c r="H132" s="6"/>
      <c r="I132" s="6"/>
      <c r="J132" s="6"/>
      <c r="K132" s="4"/>
      <c r="L132" s="13"/>
      <c r="M132" s="2"/>
      <c r="N132" s="1"/>
      <c r="O132" s="1"/>
      <c r="P132" s="1"/>
      <c r="Q132" s="1"/>
      <c r="R132" s="1"/>
      <c r="S132" s="1"/>
      <c r="T132" s="8"/>
      <c r="U132" s="8"/>
      <c r="V132" s="3"/>
      <c r="W132" s="1"/>
      <c r="X132" s="1"/>
      <c r="Y132" s="16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</row>
    <row r="133" spans="1:44" ht="12.75" customHeight="1">
      <c r="A133" s="1"/>
      <c r="B133" s="6"/>
      <c r="C133" s="6"/>
      <c r="D133" s="6"/>
      <c r="E133" s="6"/>
      <c r="F133" s="6"/>
      <c r="G133" s="6"/>
      <c r="H133" s="6"/>
      <c r="I133" s="6"/>
      <c r="J133" s="6"/>
      <c r="K133" s="4"/>
      <c r="L133" s="13"/>
      <c r="M133" s="2"/>
      <c r="N133" s="1"/>
      <c r="O133" s="1"/>
      <c r="P133" s="1"/>
      <c r="Q133" s="1"/>
      <c r="R133" s="1"/>
      <c r="S133" s="1"/>
      <c r="T133" s="8"/>
      <c r="U133" s="8"/>
      <c r="V133" s="3"/>
      <c r="W133" s="1"/>
      <c r="X133" s="1"/>
      <c r="Y133" s="16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</row>
    <row r="134" spans="1:44" ht="12.75" customHeight="1">
      <c r="A134" s="1"/>
      <c r="B134" s="6"/>
      <c r="C134" s="6"/>
      <c r="D134" s="6"/>
      <c r="E134" s="6"/>
      <c r="F134" s="6"/>
      <c r="G134" s="6"/>
      <c r="H134" s="6"/>
      <c r="I134" s="6"/>
      <c r="J134" s="6"/>
      <c r="K134" s="4"/>
      <c r="L134" s="13"/>
      <c r="M134" s="2"/>
      <c r="N134" s="1"/>
      <c r="O134" s="1"/>
      <c r="P134" s="1"/>
      <c r="Q134" s="1"/>
      <c r="R134" s="1"/>
      <c r="S134" s="1"/>
      <c r="T134" s="8"/>
      <c r="U134" s="8"/>
      <c r="V134" s="3"/>
      <c r="W134" s="1"/>
      <c r="X134" s="1"/>
      <c r="Y134" s="16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</row>
    <row r="135" spans="1:44" ht="12.75" customHeight="1">
      <c r="A135" s="1"/>
      <c r="B135" s="6"/>
      <c r="C135" s="6"/>
      <c r="D135" s="6"/>
      <c r="E135" s="6"/>
      <c r="F135" s="6"/>
      <c r="G135" s="6"/>
      <c r="H135" s="6"/>
      <c r="I135" s="6"/>
      <c r="J135" s="6"/>
      <c r="K135" s="4"/>
      <c r="L135" s="13"/>
      <c r="M135" s="2"/>
      <c r="N135" s="1"/>
      <c r="O135" s="1"/>
      <c r="P135" s="1"/>
      <c r="Q135" s="1"/>
      <c r="R135" s="1"/>
      <c r="S135" s="1"/>
      <c r="T135" s="8"/>
      <c r="U135" s="8"/>
      <c r="V135" s="3"/>
      <c r="W135" s="1"/>
      <c r="X135" s="1"/>
      <c r="Y135" s="16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</row>
    <row r="136" spans="1:44" ht="12.75" customHeight="1">
      <c r="A136" s="1"/>
      <c r="B136" s="6"/>
      <c r="C136" s="6"/>
      <c r="D136" s="6"/>
      <c r="E136" s="6"/>
      <c r="F136" s="6"/>
      <c r="G136" s="6"/>
      <c r="H136" s="6"/>
      <c r="I136" s="6"/>
      <c r="J136" s="6"/>
      <c r="K136" s="4"/>
      <c r="L136" s="13"/>
      <c r="M136" s="2"/>
      <c r="N136" s="1"/>
      <c r="O136" s="1"/>
      <c r="P136" s="1"/>
      <c r="Q136" s="1"/>
      <c r="R136" s="1"/>
      <c r="S136" s="1"/>
      <c r="T136" s="8"/>
      <c r="U136" s="8"/>
      <c r="V136" s="3"/>
      <c r="W136" s="1"/>
      <c r="X136" s="1"/>
      <c r="Y136" s="16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</row>
    <row r="137" spans="1:44" ht="12.75" customHeight="1">
      <c r="A137" s="1"/>
      <c r="B137" s="6"/>
      <c r="C137" s="6"/>
      <c r="D137" s="6"/>
      <c r="E137" s="6"/>
      <c r="F137" s="6"/>
      <c r="G137" s="6"/>
      <c r="H137" s="6"/>
      <c r="I137" s="6"/>
      <c r="J137" s="6"/>
      <c r="K137" s="4"/>
      <c r="L137" s="13"/>
      <c r="M137" s="2"/>
      <c r="N137" s="1"/>
      <c r="O137" s="1"/>
      <c r="P137" s="1"/>
      <c r="Q137" s="1"/>
      <c r="R137" s="1"/>
      <c r="S137" s="1"/>
      <c r="T137" s="8"/>
      <c r="U137" s="8"/>
      <c r="V137" s="3"/>
      <c r="W137" s="1"/>
      <c r="X137" s="1"/>
      <c r="Y137" s="16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</row>
    <row r="138" spans="1:44" ht="12.75" customHeight="1">
      <c r="A138" s="1"/>
      <c r="B138" s="6"/>
      <c r="C138" s="6"/>
      <c r="D138" s="6"/>
      <c r="E138" s="6"/>
      <c r="F138" s="6"/>
      <c r="G138" s="6"/>
      <c r="H138" s="6"/>
      <c r="I138" s="6"/>
      <c r="J138" s="6"/>
      <c r="K138" s="4"/>
      <c r="L138" s="13"/>
      <c r="M138" s="2"/>
      <c r="N138" s="1"/>
      <c r="O138" s="1"/>
      <c r="P138" s="1"/>
      <c r="Q138" s="1"/>
      <c r="R138" s="1"/>
      <c r="S138" s="1"/>
      <c r="T138" s="8"/>
      <c r="U138" s="8"/>
      <c r="V138" s="3"/>
      <c r="W138" s="1"/>
      <c r="X138" s="1"/>
      <c r="Y138" s="16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</row>
    <row r="139" spans="1:44" ht="12.75" customHeight="1">
      <c r="A139" s="1"/>
      <c r="B139" s="6"/>
      <c r="C139" s="6"/>
      <c r="D139" s="6"/>
      <c r="E139" s="6"/>
      <c r="F139" s="6"/>
      <c r="G139" s="6"/>
      <c r="H139" s="6"/>
      <c r="I139" s="6"/>
      <c r="J139" s="6"/>
      <c r="K139" s="4"/>
      <c r="L139" s="13"/>
      <c r="M139" s="2"/>
      <c r="N139" s="1"/>
      <c r="O139" s="1"/>
      <c r="P139" s="1"/>
      <c r="Q139" s="1"/>
      <c r="R139" s="1"/>
      <c r="S139" s="1"/>
      <c r="T139" s="8"/>
      <c r="U139" s="8"/>
      <c r="V139" s="3"/>
      <c r="W139" s="1"/>
      <c r="X139" s="1"/>
      <c r="Y139" s="16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</row>
    <row r="140" spans="1:44" ht="12.75" customHeight="1">
      <c r="A140" s="1"/>
      <c r="B140" s="6"/>
      <c r="C140" s="6"/>
      <c r="D140" s="6"/>
      <c r="E140" s="6"/>
      <c r="F140" s="6"/>
      <c r="G140" s="6"/>
      <c r="H140" s="6"/>
      <c r="I140" s="6"/>
      <c r="J140" s="6"/>
      <c r="K140" s="4"/>
      <c r="L140" s="13"/>
      <c r="M140" s="2"/>
      <c r="N140" s="1"/>
      <c r="O140" s="1"/>
      <c r="P140" s="1"/>
      <c r="Q140" s="1"/>
      <c r="R140" s="1"/>
      <c r="S140" s="1"/>
      <c r="T140" s="8"/>
      <c r="U140" s="8"/>
      <c r="V140" s="3"/>
      <c r="W140" s="1"/>
      <c r="X140" s="1"/>
      <c r="Y140" s="16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</row>
    <row r="141" spans="1:44">
      <c r="A141" s="1"/>
      <c r="B141" s="6"/>
      <c r="C141" s="6"/>
      <c r="D141" s="6"/>
      <c r="E141" s="6"/>
      <c r="F141" s="6"/>
      <c r="G141" s="6"/>
      <c r="H141" s="6"/>
      <c r="I141" s="6"/>
      <c r="J141" s="6"/>
      <c r="K141" s="4"/>
      <c r="L141" s="13"/>
      <c r="M141" s="2"/>
      <c r="N141" s="1"/>
      <c r="O141" s="1"/>
      <c r="P141" s="1"/>
      <c r="Q141" s="1"/>
      <c r="R141" s="1"/>
      <c r="S141" s="1"/>
      <c r="T141" s="8"/>
      <c r="U141" s="8"/>
      <c r="V141" s="3"/>
      <c r="W141" s="1"/>
      <c r="X141" s="1"/>
      <c r="Y141" s="16"/>
    </row>
    <row r="142" spans="1:44">
      <c r="A142" s="1"/>
      <c r="B142" s="6"/>
      <c r="C142" s="6"/>
      <c r="D142" s="6"/>
      <c r="E142" s="6"/>
      <c r="F142" s="6"/>
      <c r="G142" s="6"/>
      <c r="H142" s="6"/>
      <c r="I142" s="6"/>
      <c r="J142" s="6"/>
      <c r="K142" s="4"/>
      <c r="L142" s="13"/>
      <c r="M142" s="2"/>
      <c r="N142" s="1"/>
      <c r="O142" s="1"/>
      <c r="P142" s="1"/>
      <c r="Q142" s="1"/>
      <c r="R142" s="1"/>
      <c r="S142" s="1"/>
      <c r="T142" s="8"/>
      <c r="U142" s="8"/>
      <c r="V142" s="3"/>
      <c r="W142" s="1"/>
      <c r="X142" s="1"/>
      <c r="Y142" s="16"/>
    </row>
    <row r="143" spans="1:44">
      <c r="A143" s="1"/>
      <c r="B143" s="6"/>
      <c r="C143" s="6"/>
      <c r="D143" s="6"/>
      <c r="E143" s="6"/>
      <c r="F143" s="6"/>
      <c r="G143" s="6"/>
      <c r="H143" s="6"/>
      <c r="I143" s="6"/>
      <c r="J143" s="6"/>
      <c r="K143" s="4"/>
      <c r="L143" s="13"/>
      <c r="M143" s="2"/>
      <c r="N143" s="1"/>
      <c r="O143" s="1"/>
      <c r="P143" s="1"/>
      <c r="Q143" s="1"/>
      <c r="R143" s="1"/>
      <c r="S143" s="1"/>
      <c r="T143" s="8"/>
      <c r="U143" s="8"/>
      <c r="V143" s="3"/>
      <c r="W143" s="1"/>
      <c r="X143" s="1"/>
      <c r="Y143" s="16"/>
    </row>
    <row r="144" spans="1:44">
      <c r="A144" s="1"/>
      <c r="B144" s="6"/>
      <c r="C144" s="6"/>
      <c r="D144" s="6"/>
      <c r="E144" s="6"/>
      <c r="F144" s="6"/>
      <c r="G144" s="6"/>
      <c r="H144" s="6"/>
      <c r="I144" s="6"/>
      <c r="J144" s="6"/>
      <c r="K144" s="4"/>
      <c r="L144" s="13"/>
      <c r="M144" s="2"/>
      <c r="N144" s="1"/>
      <c r="O144" s="1"/>
      <c r="P144" s="1"/>
      <c r="Q144" s="1"/>
      <c r="R144" s="1"/>
      <c r="S144" s="1"/>
      <c r="T144" s="8"/>
      <c r="U144" s="8"/>
      <c r="V144" s="3"/>
      <c r="W144" s="1"/>
      <c r="X144" s="1"/>
      <c r="Y144" s="16"/>
    </row>
    <row r="145" spans="1:25">
      <c r="A145" s="1"/>
      <c r="B145" s="6"/>
      <c r="C145" s="6"/>
      <c r="D145" s="6"/>
      <c r="E145" s="6"/>
      <c r="F145" s="6"/>
      <c r="G145" s="6"/>
      <c r="H145" s="6"/>
      <c r="I145" s="6"/>
      <c r="J145" s="6"/>
      <c r="K145" s="4"/>
      <c r="L145" s="13"/>
      <c r="M145" s="2"/>
      <c r="N145" s="1"/>
      <c r="O145" s="1"/>
      <c r="P145" s="1"/>
      <c r="Q145" s="1"/>
      <c r="R145" s="1"/>
      <c r="S145" s="1"/>
      <c r="T145" s="8"/>
      <c r="U145" s="8"/>
      <c r="V145" s="3"/>
      <c r="W145" s="1"/>
      <c r="X145" s="1"/>
      <c r="Y145" s="16"/>
    </row>
  </sheetData>
  <autoFilter ref="A8:AR8">
    <filterColumn colId="3"/>
    <filterColumn colId="4"/>
    <filterColumn colId="7"/>
    <filterColumn colId="8"/>
    <filterColumn colId="9"/>
    <filterColumn colId="16"/>
    <filterColumn colId="17"/>
    <filterColumn colId="20"/>
    <sortState ref="A9:AR110">
      <sortCondition ref="Y8"/>
    </sortState>
  </autoFilter>
  <mergeCells count="10">
    <mergeCell ref="C7:F7"/>
    <mergeCell ref="C5:F5"/>
    <mergeCell ref="A1:AE1"/>
    <mergeCell ref="C2:F2"/>
    <mergeCell ref="C3:F3"/>
    <mergeCell ref="C4:F4"/>
    <mergeCell ref="H4:H5"/>
    <mergeCell ref="I4:I5"/>
    <mergeCell ref="G2:K2"/>
    <mergeCell ref="H3:I3"/>
  </mergeCells>
  <hyperlinks>
    <hyperlink ref="A31:A34" r:id="rId1" display="Dodo Prepaid 100"/>
    <hyperlink ref="A23:A30" r:id="rId2" display="Dodo Contract Cap 12.9"/>
    <hyperlink ref="A44:A47" r:id="rId3" display="Optus Cap Plans 19"/>
    <hyperlink ref="A48:A52" r:id="rId4" display="Optus Prepaid TurboCharge 30"/>
    <hyperlink ref="A67:A74" r:id="rId5" display="Telstra Phone Plan 20"/>
    <hyperlink ref="A63:A66" r:id="rId6" display="Telstra 49 Cap"/>
    <hyperlink ref="A90:A94" r:id="rId7" display="Virgin Cap 30"/>
    <hyperlink ref="A107:A110" r:id="rId8" display="Vodafone Prepaid Cap 29"/>
    <hyperlink ref="A96:A100" r:id="rId9" display="Vodafone Cap Contract 29"/>
    <hyperlink ref="A101:A106" r:id="rId10" display="Vodafone Plan Contract 20"/>
    <hyperlink ref="A75:A83" r:id="rId11" display="Three Cap 19"/>
    <hyperlink ref="A75:A77" r:id="rId12" display="Savvytel"/>
    <hyperlink ref="A18:A22" r:id="rId13" display="Crazy Johns Cap 19"/>
    <hyperlink ref="A53:A57" r:id="rId14" display="People Telecom SimplePlan 20"/>
    <hyperlink ref="A39:A43" r:id="rId15" display="Gotalk My Cap 5"/>
    <hyperlink ref="A35:A38" r:id="rId16" display="Exetel Mobile 10 Cap "/>
    <hyperlink ref="A9:A11" r:id="rId17" display="AAPT"/>
  </hyperlinks>
  <pageMargins left="0.75" right="0.75" top="1" bottom="1" header="0.5" footer="0.5"/>
  <pageSetup paperSize="9" scale="10" firstPageNumber="0" fitToWidth="0" fitToHeight="0" orientation="portrait" horizontalDpi="300" verticalDpi="300" r:id="rId18"/>
  <headerFooter alignWithMargins="0"/>
  <legacyDrawing r:id="rId1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"/>
  <sheetViews>
    <sheetView workbookViewId="0">
      <selection activeCell="A5" sqref="A5"/>
    </sheetView>
  </sheetViews>
  <sheetFormatPr defaultRowHeight="12.75"/>
  <cols>
    <col min="2" max="2" width="10.140625" bestFit="1" customWidth="1"/>
    <col min="3" max="3" width="66.5703125" customWidth="1"/>
  </cols>
  <sheetData>
    <row r="1" spans="1:3" ht="15">
      <c r="A1" s="70" t="s">
        <v>152</v>
      </c>
      <c r="B1" s="70" t="s">
        <v>153</v>
      </c>
      <c r="C1" s="70" t="s">
        <v>154</v>
      </c>
    </row>
    <row r="2" spans="1:3">
      <c r="A2">
        <v>1.01</v>
      </c>
      <c r="B2" s="69">
        <v>39916</v>
      </c>
      <c r="C2" s="14" t="s">
        <v>151</v>
      </c>
    </row>
    <row r="3" spans="1:3">
      <c r="A3">
        <v>1.01</v>
      </c>
      <c r="B3" s="69">
        <v>39916</v>
      </c>
      <c r="C3" s="14" t="s">
        <v>155</v>
      </c>
    </row>
    <row r="4" spans="1:3">
      <c r="A4">
        <v>1.01</v>
      </c>
      <c r="B4" s="69">
        <v>39917</v>
      </c>
      <c r="C4" s="14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Phone Plan Chooser</vt:lpstr>
      <vt:lpstr>Change Log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Rhys Evans</dc:creator>
  <cp:lastModifiedBy>Rhys Evans</cp:lastModifiedBy>
  <dcterms:created xsi:type="dcterms:W3CDTF">2008-04-01T15:25:45Z</dcterms:created>
  <dcterms:modified xsi:type="dcterms:W3CDTF">2009-04-14T07:02:23Z</dcterms:modified>
</cp:coreProperties>
</file>